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updateLinks="never" defaultThemeVersion="166925"/>
  <mc:AlternateContent xmlns:mc="http://schemas.openxmlformats.org/markup-compatibility/2006">
    <mc:Choice Requires="x15">
      <x15ac:absPath xmlns:x15ac="http://schemas.microsoft.com/office/spreadsheetml/2010/11/ac" url="S:\Strategic Service Planning\Integrated Health and Social Care\Governance\Regional Commissioning Board\wsLetsAgree2Agree\2022\"/>
    </mc:Choice>
  </mc:AlternateContent>
  <xr:revisionPtr revIDLastSave="0" documentId="8_{2A94C8AE-0AFE-4C92-95C8-59896C3FE564}" xr6:coauthVersionLast="36" xr6:coauthVersionMax="36" xr10:uidLastSave="{00000000-0000-0000-0000-000000000000}"/>
  <workbookProtection workbookAlgorithmName="SHA-512" workbookHashValue="rEJ4A4G/se1J3aRPbPM+ZL3sNF4YCaJr1mwUHK4HgypEXx8GD4FPZc0t9XLySvtYbXkaHlmBJ8PSskSckTl0Wg==" workbookSaltValue="uuyTmLmNccZMOfmSUpdoYA==" workbookSpinCount="100000" lockStructure="1"/>
  <bookViews>
    <workbookView xWindow="0" yWindow="0" windowWidth="19200" windowHeight="7954" tabRatio="850" xr2:uid="{507F4CDE-4CA0-4AC6-8B4F-BF690AD37A4D}"/>
  </bookViews>
  <sheets>
    <sheet name="About your business" sheetId="1" r:id="rId1"/>
    <sheet name="DropDownLists" sheetId="6" state="hidden" r:id="rId2"/>
    <sheet name="Staffing Wages" sheetId="3" r:id="rId3"/>
    <sheet name="Staffing Wage CHANGE" sheetId="7" state="hidden" r:id="rId4"/>
    <sheet name="Business Running Costs" sheetId="13" r:id="rId5"/>
    <sheet name="Development &amp; Sustainability" sheetId="8" r:id="rId6"/>
    <sheet name="ActivitySpecificCosts" sheetId="9" state="hidden" r:id="rId7"/>
    <sheet name="PackageCostCalculator" sheetId="10" r:id="rId8"/>
    <sheet name="Calculator sheet" sheetId="14" r:id="rId9"/>
    <sheet name="Calculators to suport input" sheetId="11" state="hidden" r:id="rId10"/>
    <sheet name="T&amp;FGroupDataSetReport" sheetId="12" state="hidden"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 i="3" l="1"/>
  <c r="B5" i="14" l="1"/>
  <c r="H5" i="13" l="1"/>
  <c r="G8" i="13"/>
  <c r="F6" i="13"/>
  <c r="V15" i="3"/>
  <c r="U15" i="3"/>
  <c r="T15" i="3"/>
  <c r="R15" i="3"/>
  <c r="Q15"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I15" i="3"/>
  <c r="J15" i="3" s="1"/>
  <c r="C27" i="1"/>
  <c r="W15" i="3" l="1"/>
  <c r="E26" i="8" l="1"/>
  <c r="F24" i="10" l="1"/>
  <c r="E24" i="10"/>
  <c r="C24" i="10"/>
  <c r="C5" i="10"/>
  <c r="V79" i="3"/>
  <c r="V80" i="3"/>
  <c r="V81" i="3"/>
  <c r="V82" i="3"/>
  <c r="V83" i="3"/>
  <c r="V84" i="3"/>
  <c r="V85" i="3"/>
  <c r="V86" i="3"/>
  <c r="V87" i="3"/>
  <c r="V88" i="3"/>
  <c r="V89" i="3"/>
  <c r="V90" i="3"/>
  <c r="V91" i="3"/>
  <c r="V92" i="3"/>
  <c r="V93" i="3"/>
  <c r="H13" i="8" l="1"/>
  <c r="G15" i="8" s="1"/>
  <c r="F5" i="10"/>
  <c r="V16" i="3"/>
  <c r="V17" i="3"/>
  <c r="V18" i="3"/>
  <c r="V19" i="3"/>
  <c r="V20" i="3"/>
  <c r="V21" i="3"/>
  <c r="V22" i="3"/>
  <c r="V23" i="3"/>
  <c r="V24" i="3"/>
  <c r="V25" i="3"/>
  <c r="V26" i="3"/>
  <c r="V27" i="3"/>
  <c r="V28" i="3"/>
  <c r="V29" i="3"/>
  <c r="V30" i="3"/>
  <c r="U16" i="3"/>
  <c r="U17" i="3"/>
  <c r="U18" i="3"/>
  <c r="U19" i="3"/>
  <c r="U20" i="3"/>
  <c r="U21" i="3"/>
  <c r="U22" i="3"/>
  <c r="U23" i="3"/>
  <c r="U24" i="3"/>
  <c r="U25" i="3"/>
  <c r="U26" i="3"/>
  <c r="U27" i="3"/>
  <c r="U28" i="3"/>
  <c r="U29" i="3"/>
  <c r="U30" i="3"/>
  <c r="T16" i="3"/>
  <c r="T17" i="3"/>
  <c r="T18" i="3"/>
  <c r="T19" i="3"/>
  <c r="T20" i="3"/>
  <c r="T21" i="3"/>
  <c r="T22" i="3"/>
  <c r="T23" i="3"/>
  <c r="T24" i="3"/>
  <c r="T25" i="3"/>
  <c r="T26" i="3"/>
  <c r="T27" i="3"/>
  <c r="T28" i="3"/>
  <c r="T29" i="3"/>
  <c r="T30" i="3"/>
  <c r="T31" i="3"/>
  <c r="T32" i="3"/>
  <c r="T33" i="3"/>
  <c r="T34" i="3"/>
  <c r="T35" i="3"/>
  <c r="T36" i="3"/>
  <c r="T37" i="3"/>
  <c r="T38" i="3"/>
  <c r="T39" i="3"/>
  <c r="T40" i="3"/>
  <c r="T41" i="3"/>
  <c r="T42" i="3"/>
  <c r="R16" i="3"/>
  <c r="R17" i="3"/>
  <c r="R18" i="3"/>
  <c r="R19" i="3"/>
  <c r="R20" i="3"/>
  <c r="R21" i="3"/>
  <c r="R22" i="3"/>
  <c r="R23" i="3"/>
  <c r="R24" i="3"/>
  <c r="R25" i="3"/>
  <c r="R26" i="3"/>
  <c r="R27" i="3"/>
  <c r="R28" i="3"/>
  <c r="R29" i="3"/>
  <c r="R30" i="3"/>
  <c r="R31" i="3"/>
  <c r="R32" i="3"/>
  <c r="R33" i="3"/>
  <c r="R34" i="3"/>
  <c r="Q16" i="3"/>
  <c r="Q17" i="3"/>
  <c r="W17" i="3" s="1"/>
  <c r="Q18" i="3"/>
  <c r="W18" i="3" s="1"/>
  <c r="Q19" i="3"/>
  <c r="W19" i="3" s="1"/>
  <c r="Q20" i="3"/>
  <c r="W20" i="3" s="1"/>
  <c r="Q21" i="3"/>
  <c r="Q22" i="3"/>
  <c r="Q23" i="3"/>
  <c r="Q24" i="3"/>
  <c r="Q25" i="3"/>
  <c r="W25" i="3" s="1"/>
  <c r="Q26" i="3"/>
  <c r="W26" i="3" s="1"/>
  <c r="Q27" i="3"/>
  <c r="W27" i="3" s="1"/>
  <c r="Q28" i="3"/>
  <c r="W28" i="3" s="1"/>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W24" i="3" l="1"/>
  <c r="W16" i="3"/>
  <c r="W29" i="3"/>
  <c r="W22" i="3"/>
  <c r="W23" i="3"/>
  <c r="W21" i="3"/>
  <c r="E71" i="13"/>
  <c r="E5" i="10" l="1"/>
  <c r="E46" i="13" l="1"/>
  <c r="M8" i="13" l="1"/>
  <c r="I2" i="10" l="1"/>
  <c r="F16" i="1"/>
  <c r="K14" i="10" l="1"/>
  <c r="L5" i="10"/>
  <c r="L14" i="10"/>
  <c r="K5" i="10"/>
  <c r="D18" i="1"/>
  <c r="I7" i="10" s="1"/>
  <c r="I8" i="10" s="1"/>
  <c r="F18" i="1"/>
  <c r="I9" i="10" s="1"/>
  <c r="I21" i="3" l="1"/>
  <c r="D39" i="8" l="1"/>
  <c r="E39" i="8" s="1"/>
  <c r="D40" i="8"/>
  <c r="E31" i="13"/>
  <c r="D76" i="13" s="1"/>
  <c r="D77" i="13"/>
  <c r="D79" i="13"/>
  <c r="D78" i="13"/>
  <c r="I70" i="13" l="1"/>
  <c r="D10" i="1" l="1"/>
  <c r="A19" i="1" s="1"/>
  <c r="E10" i="1"/>
  <c r="A22" i="1" s="1"/>
  <c r="H45" i="12" l="1"/>
  <c r="H43" i="12"/>
  <c r="H42" i="12"/>
  <c r="K33" i="12" l="1"/>
  <c r="F21" i="12" l="1"/>
  <c r="F17" i="11" l="1"/>
  <c r="H44" i="12"/>
  <c r="C44" i="12"/>
  <c r="B44" i="12"/>
  <c r="A44" i="12"/>
  <c r="C43" i="12"/>
  <c r="B43" i="12"/>
  <c r="A43" i="12"/>
  <c r="C42" i="12"/>
  <c r="A49" i="12" s="1"/>
  <c r="B42" i="12"/>
  <c r="A42" i="12"/>
  <c r="C40" i="1"/>
  <c r="B40" i="1"/>
  <c r="A40" i="1"/>
  <c r="C39" i="1"/>
  <c r="B39" i="1"/>
  <c r="A39" i="1"/>
  <c r="C38" i="1"/>
  <c r="B38" i="1"/>
  <c r="A38" i="1"/>
  <c r="G41" i="13"/>
  <c r="I41" i="13" s="1"/>
  <c r="G40" i="13"/>
  <c r="I40" i="13" s="1"/>
  <c r="G49" i="13"/>
  <c r="G30" i="13"/>
  <c r="I30" i="13" s="1"/>
  <c r="G25" i="13"/>
  <c r="G16" i="13"/>
  <c r="I16" i="13" s="1"/>
  <c r="F5" i="13"/>
  <c r="F33" i="13"/>
  <c r="I69" i="13"/>
  <c r="I68" i="13"/>
  <c r="F48" i="13"/>
  <c r="F28" i="13"/>
  <c r="H26" i="13"/>
  <c r="F19" i="13"/>
  <c r="H6" i="13"/>
  <c r="G34" i="13" l="1"/>
  <c r="I44" i="12" s="1"/>
  <c r="J56" i="12" s="1"/>
  <c r="G7" i="13"/>
  <c r="G13" i="13"/>
  <c r="I13" i="13" s="1"/>
  <c r="G20" i="13"/>
  <c r="G50" i="13"/>
  <c r="H69" i="13" s="1"/>
  <c r="A50" i="13" s="1"/>
  <c r="G12" i="13"/>
  <c r="I12" i="13" s="1"/>
  <c r="G21" i="13"/>
  <c r="G51" i="13"/>
  <c r="G11" i="13"/>
  <c r="I11" i="13" s="1"/>
  <c r="G22" i="13"/>
  <c r="H37" i="13"/>
  <c r="G53" i="13"/>
  <c r="G54" i="13"/>
  <c r="G37" i="13"/>
  <c r="I37" i="13" s="1"/>
  <c r="G65" i="13"/>
  <c r="I65" i="13" s="1"/>
  <c r="G62" i="13"/>
  <c r="I62" i="13" s="1"/>
  <c r="G36" i="13"/>
  <c r="I36" i="13" s="1"/>
  <c r="G55" i="13"/>
  <c r="I55" i="13" s="1"/>
  <c r="G63" i="13"/>
  <c r="I63" i="13" s="1"/>
  <c r="G64" i="13"/>
  <c r="I64" i="13" s="1"/>
  <c r="G43" i="13"/>
  <c r="I43" i="13" s="1"/>
  <c r="G44" i="13"/>
  <c r="I44" i="13" s="1"/>
  <c r="G61" i="13"/>
  <c r="I61" i="13" s="1"/>
  <c r="G56" i="13"/>
  <c r="I56" i="13" s="1"/>
  <c r="G57" i="13"/>
  <c r="I57" i="13" s="1"/>
  <c r="G42" i="13"/>
  <c r="I42" i="13" s="1"/>
  <c r="G58" i="13"/>
  <c r="I58" i="13" s="1"/>
  <c r="G59" i="13"/>
  <c r="I59" i="13" s="1"/>
  <c r="G45" i="13"/>
  <c r="I45" i="13" s="1"/>
  <c r="G35" i="13"/>
  <c r="G60" i="13"/>
  <c r="I60" i="13" s="1"/>
  <c r="G52" i="13"/>
  <c r="G14" i="13"/>
  <c r="I14" i="13" s="1"/>
  <c r="G15" i="13"/>
  <c r="G23" i="13"/>
  <c r="G38" i="13"/>
  <c r="I38" i="13" s="1"/>
  <c r="G24" i="13"/>
  <c r="G39" i="13"/>
  <c r="A39" i="13" s="1"/>
  <c r="H42" i="13"/>
  <c r="H45" i="13"/>
  <c r="H43" i="13"/>
  <c r="H44" i="13"/>
  <c r="H35" i="13"/>
  <c r="H36" i="13"/>
  <c r="H55" i="13"/>
  <c r="H61" i="13"/>
  <c r="H65" i="13"/>
  <c r="H56" i="13"/>
  <c r="H64" i="13"/>
  <c r="H58" i="13"/>
  <c r="H62" i="13"/>
  <c r="H52" i="13"/>
  <c r="H57" i="13"/>
  <c r="H59" i="13"/>
  <c r="H63" i="13"/>
  <c r="H60" i="13"/>
  <c r="I49" i="13"/>
  <c r="A16" i="13"/>
  <c r="A45" i="1"/>
  <c r="H39" i="13"/>
  <c r="H11" i="13"/>
  <c r="H12" i="13"/>
  <c r="H13" i="13"/>
  <c r="H15" i="13"/>
  <c r="H14" i="13"/>
  <c r="H16" i="13"/>
  <c r="A41" i="13"/>
  <c r="I45" i="12"/>
  <c r="F69" i="13"/>
  <c r="H49" i="13"/>
  <c r="H50" i="13"/>
  <c r="H41" i="13"/>
  <c r="H34" i="13"/>
  <c r="H40" i="13"/>
  <c r="E34" i="12"/>
  <c r="G10" i="13"/>
  <c r="I10" i="13" s="1"/>
  <c r="H51" i="13"/>
  <c r="H10" i="13"/>
  <c r="H38" i="13"/>
  <c r="A40" i="13"/>
  <c r="H30" i="13"/>
  <c r="H29" i="13"/>
  <c r="C35" i="12" l="1"/>
  <c r="I50" i="13"/>
  <c r="E78" i="13"/>
  <c r="C34" i="12"/>
  <c r="I39" i="13"/>
  <c r="A38" i="13"/>
  <c r="E35" i="12"/>
  <c r="G31" i="13"/>
  <c r="E76" i="13" s="1"/>
  <c r="A14" i="13"/>
  <c r="A13" i="13"/>
  <c r="A12" i="13"/>
  <c r="A11" i="13"/>
  <c r="I15" i="13"/>
  <c r="A15" i="13"/>
  <c r="G46" i="13"/>
  <c r="E77" i="13" s="1"/>
  <c r="E79" i="13"/>
  <c r="I52" i="13"/>
  <c r="I35" i="13"/>
  <c r="A35" i="13"/>
  <c r="E33" i="12"/>
  <c r="F71" i="13"/>
  <c r="A10" i="13"/>
  <c r="L33" i="12"/>
  <c r="E39" i="1"/>
  <c r="E43" i="12"/>
  <c r="I51" i="13"/>
  <c r="A51" i="13"/>
  <c r="I34" i="13"/>
  <c r="A34" i="13"/>
  <c r="H68" i="13"/>
  <c r="A49" i="13" s="1"/>
  <c r="H70" i="13"/>
  <c r="F79" i="13" l="1"/>
  <c r="F77" i="13"/>
  <c r="F76" i="13"/>
  <c r="F70" i="13"/>
  <c r="A52" i="13"/>
  <c r="I43" i="12"/>
  <c r="F68" i="13"/>
  <c r="I42" i="12"/>
  <c r="E44" i="12"/>
  <c r="E40" i="1"/>
  <c r="E42" i="12"/>
  <c r="E38" i="1"/>
  <c r="F78" i="13"/>
  <c r="C32" i="1" s="1"/>
  <c r="C33" i="1" l="1"/>
  <c r="U31" i="3"/>
  <c r="V31" i="3"/>
  <c r="U32" i="3"/>
  <c r="V32" i="3"/>
  <c r="U33" i="3"/>
  <c r="V33" i="3"/>
  <c r="U34" i="3"/>
  <c r="V34" i="3"/>
  <c r="R35" i="3"/>
  <c r="U35" i="3"/>
  <c r="V35" i="3"/>
  <c r="R36" i="3"/>
  <c r="U36" i="3"/>
  <c r="V36" i="3"/>
  <c r="R37" i="3"/>
  <c r="U37" i="3"/>
  <c r="V37" i="3"/>
  <c r="R38" i="3"/>
  <c r="U38" i="3"/>
  <c r="V38" i="3"/>
  <c r="R39" i="3"/>
  <c r="U39" i="3"/>
  <c r="V39" i="3"/>
  <c r="R40" i="3"/>
  <c r="U40" i="3"/>
  <c r="V40" i="3"/>
  <c r="R41" i="3"/>
  <c r="U41" i="3"/>
  <c r="V41" i="3"/>
  <c r="R42" i="3"/>
  <c r="U42" i="3"/>
  <c r="V42" i="3"/>
  <c r="R43" i="3"/>
  <c r="T43" i="3"/>
  <c r="U43" i="3"/>
  <c r="V43" i="3"/>
  <c r="R44" i="3"/>
  <c r="T44" i="3"/>
  <c r="U44" i="3"/>
  <c r="V44" i="3"/>
  <c r="R45" i="3"/>
  <c r="T45" i="3"/>
  <c r="U45" i="3"/>
  <c r="V45" i="3"/>
  <c r="R46" i="3"/>
  <c r="T46" i="3"/>
  <c r="U46" i="3"/>
  <c r="V46" i="3"/>
  <c r="R47" i="3"/>
  <c r="T47" i="3"/>
  <c r="U47" i="3"/>
  <c r="V47" i="3"/>
  <c r="R48" i="3"/>
  <c r="T48" i="3"/>
  <c r="U48" i="3"/>
  <c r="V48" i="3"/>
  <c r="R49" i="3"/>
  <c r="T49" i="3"/>
  <c r="U49" i="3"/>
  <c r="V49" i="3"/>
  <c r="R50" i="3"/>
  <c r="T50" i="3"/>
  <c r="U50" i="3"/>
  <c r="V50" i="3"/>
  <c r="R51" i="3"/>
  <c r="T51" i="3"/>
  <c r="U51" i="3"/>
  <c r="V51" i="3"/>
  <c r="R52" i="3"/>
  <c r="T52" i="3"/>
  <c r="U52" i="3"/>
  <c r="V52" i="3"/>
  <c r="R53" i="3"/>
  <c r="T53" i="3"/>
  <c r="U53" i="3"/>
  <c r="V53" i="3"/>
  <c r="R54" i="3"/>
  <c r="T54" i="3"/>
  <c r="U54" i="3"/>
  <c r="V54" i="3"/>
  <c r="R55" i="3"/>
  <c r="T55" i="3"/>
  <c r="U55" i="3"/>
  <c r="V55" i="3"/>
  <c r="R56" i="3"/>
  <c r="T56" i="3"/>
  <c r="U56" i="3"/>
  <c r="V56" i="3"/>
  <c r="R57" i="3"/>
  <c r="T57" i="3"/>
  <c r="U57" i="3"/>
  <c r="V57" i="3"/>
  <c r="R58" i="3"/>
  <c r="T58" i="3"/>
  <c r="U58" i="3"/>
  <c r="V58" i="3"/>
  <c r="R59" i="3"/>
  <c r="T59" i="3"/>
  <c r="U59" i="3"/>
  <c r="V59" i="3"/>
  <c r="R60" i="3"/>
  <c r="T60" i="3"/>
  <c r="U60" i="3"/>
  <c r="V60" i="3"/>
  <c r="R61" i="3"/>
  <c r="T61" i="3"/>
  <c r="U61" i="3"/>
  <c r="V61" i="3"/>
  <c r="R62" i="3"/>
  <c r="T62" i="3"/>
  <c r="U62" i="3"/>
  <c r="V62" i="3"/>
  <c r="R63" i="3"/>
  <c r="T63" i="3"/>
  <c r="U63" i="3"/>
  <c r="V63" i="3"/>
  <c r="R64" i="3"/>
  <c r="T64" i="3"/>
  <c r="U64" i="3"/>
  <c r="V64" i="3"/>
  <c r="R65" i="3"/>
  <c r="T65" i="3"/>
  <c r="U65" i="3"/>
  <c r="V65" i="3"/>
  <c r="R66" i="3"/>
  <c r="T66" i="3"/>
  <c r="U66" i="3"/>
  <c r="V66" i="3"/>
  <c r="R67" i="3"/>
  <c r="T67" i="3"/>
  <c r="U67" i="3"/>
  <c r="V67" i="3"/>
  <c r="R68" i="3"/>
  <c r="T68" i="3"/>
  <c r="U68" i="3"/>
  <c r="V68" i="3"/>
  <c r="R69" i="3"/>
  <c r="T69" i="3"/>
  <c r="U69" i="3"/>
  <c r="V69" i="3"/>
  <c r="R70" i="3"/>
  <c r="T70" i="3"/>
  <c r="U70" i="3"/>
  <c r="V70" i="3"/>
  <c r="R71" i="3"/>
  <c r="T71" i="3"/>
  <c r="U71" i="3"/>
  <c r="V71" i="3"/>
  <c r="R72" i="3"/>
  <c r="T72" i="3"/>
  <c r="U72" i="3"/>
  <c r="V72" i="3"/>
  <c r="R73" i="3"/>
  <c r="T73" i="3"/>
  <c r="U73" i="3"/>
  <c r="V73" i="3"/>
  <c r="R74" i="3"/>
  <c r="T74" i="3"/>
  <c r="U74" i="3"/>
  <c r="V74" i="3"/>
  <c r="R75" i="3"/>
  <c r="T75" i="3"/>
  <c r="U75" i="3"/>
  <c r="V75" i="3"/>
  <c r="R76" i="3"/>
  <c r="T76" i="3"/>
  <c r="U76" i="3"/>
  <c r="V76" i="3"/>
  <c r="R77" i="3"/>
  <c r="T77" i="3"/>
  <c r="U77" i="3"/>
  <c r="V77" i="3"/>
  <c r="R78" i="3"/>
  <c r="T78" i="3"/>
  <c r="U78" i="3"/>
  <c r="V78" i="3"/>
  <c r="R79" i="3"/>
  <c r="T79" i="3"/>
  <c r="U79" i="3"/>
  <c r="R80" i="3"/>
  <c r="T80" i="3"/>
  <c r="U80" i="3"/>
  <c r="R81" i="3"/>
  <c r="T81" i="3"/>
  <c r="U81" i="3"/>
  <c r="R82" i="3"/>
  <c r="T82" i="3"/>
  <c r="U82" i="3"/>
  <c r="R83" i="3"/>
  <c r="T83" i="3"/>
  <c r="U83" i="3"/>
  <c r="Q84" i="3"/>
  <c r="R84" i="3"/>
  <c r="T84" i="3"/>
  <c r="U84" i="3"/>
  <c r="Q85" i="3"/>
  <c r="R85" i="3"/>
  <c r="T85" i="3"/>
  <c r="U85" i="3"/>
  <c r="Q86" i="3"/>
  <c r="R86" i="3"/>
  <c r="T86" i="3"/>
  <c r="U86" i="3"/>
  <c r="Q87" i="3"/>
  <c r="R87" i="3"/>
  <c r="T87" i="3"/>
  <c r="U87" i="3"/>
  <c r="Q88" i="3"/>
  <c r="R88" i="3"/>
  <c r="T88" i="3"/>
  <c r="U88" i="3"/>
  <c r="Q89" i="3"/>
  <c r="R89" i="3"/>
  <c r="T89" i="3"/>
  <c r="U89" i="3"/>
  <c r="Q90" i="3"/>
  <c r="R90" i="3"/>
  <c r="T90" i="3"/>
  <c r="U90" i="3"/>
  <c r="Q91" i="3"/>
  <c r="R91" i="3"/>
  <c r="T91" i="3"/>
  <c r="U91" i="3"/>
  <c r="Q92" i="3"/>
  <c r="R92" i="3"/>
  <c r="T92" i="3"/>
  <c r="U92" i="3"/>
  <c r="Q93" i="3"/>
  <c r="R93" i="3"/>
  <c r="T93" i="3"/>
  <c r="U93" i="3"/>
  <c r="O16" i="3" l="1"/>
  <c r="P16" i="3"/>
  <c r="O17" i="3"/>
  <c r="P17" i="3"/>
  <c r="O18" i="3"/>
  <c r="P18" i="3"/>
  <c r="O19" i="3"/>
  <c r="P19" i="3"/>
  <c r="O20" i="3"/>
  <c r="P20" i="3"/>
  <c r="O21" i="3"/>
  <c r="P21" i="3"/>
  <c r="O22" i="3"/>
  <c r="P22" i="3"/>
  <c r="O23" i="3"/>
  <c r="P23" i="3"/>
  <c r="O24" i="3"/>
  <c r="P24" i="3"/>
  <c r="O25" i="3"/>
  <c r="P25" i="3"/>
  <c r="O26" i="3"/>
  <c r="P26" i="3"/>
  <c r="O27" i="3"/>
  <c r="P27" i="3"/>
  <c r="O28" i="3"/>
  <c r="P28" i="3"/>
  <c r="O29" i="3"/>
  <c r="P29" i="3"/>
  <c r="O30" i="3"/>
  <c r="P30" i="3"/>
  <c r="O31" i="3"/>
  <c r="P31" i="3"/>
  <c r="O32" i="3"/>
  <c r="P32" i="3"/>
  <c r="O33" i="3"/>
  <c r="P33" i="3"/>
  <c r="O34" i="3"/>
  <c r="P34" i="3"/>
  <c r="O35" i="3"/>
  <c r="P35" i="3"/>
  <c r="O36" i="3"/>
  <c r="P36" i="3"/>
  <c r="P15" i="3"/>
  <c r="O15" i="3"/>
  <c r="O56" i="12" l="1"/>
  <c r="H6" i="11"/>
  <c r="C29" i="12" l="1"/>
  <c r="D29" i="12" s="1"/>
  <c r="F14" i="12"/>
  <c r="F15" i="12"/>
  <c r="E15" i="12"/>
  <c r="E14" i="12"/>
  <c r="C15" i="12"/>
  <c r="C14" i="12"/>
  <c r="C13" i="12"/>
  <c r="E13" i="12"/>
  <c r="F13" i="12"/>
  <c r="F12" i="12"/>
  <c r="E12" i="12"/>
  <c r="C12" i="12"/>
  <c r="C11" i="12"/>
  <c r="A21" i="12" s="1"/>
  <c r="F32" i="12"/>
  <c r="F46" i="12"/>
  <c r="F41" i="12"/>
  <c r="M35" i="12"/>
  <c r="A23" i="12"/>
  <c r="A19" i="12"/>
  <c r="F16" i="12"/>
  <c r="F7" i="11"/>
  <c r="H7" i="11" s="1"/>
  <c r="J45" i="12" l="1"/>
  <c r="J42" i="12"/>
  <c r="J43" i="12"/>
  <c r="J44" i="12"/>
  <c r="K44" i="12"/>
  <c r="K45" i="12"/>
  <c r="M33" i="12"/>
  <c r="K43" i="12"/>
  <c r="K42" i="12"/>
  <c r="G33" i="12"/>
  <c r="I32" i="12"/>
  <c r="G32" i="12"/>
  <c r="E10" i="12"/>
  <c r="F10" i="12" s="1"/>
  <c r="L56" i="12" l="1"/>
  <c r="A22" i="12"/>
  <c r="O37" i="3" l="1"/>
  <c r="P37" i="3"/>
  <c r="O38" i="3"/>
  <c r="P38" i="3"/>
  <c r="O39" i="3"/>
  <c r="P39" i="3"/>
  <c r="O40" i="3"/>
  <c r="P40" i="3"/>
  <c r="O41" i="3"/>
  <c r="P41" i="3"/>
  <c r="O42" i="3"/>
  <c r="P42" i="3"/>
  <c r="O43" i="3"/>
  <c r="P43" i="3"/>
  <c r="O44" i="3"/>
  <c r="P44" i="3"/>
  <c r="O45" i="3"/>
  <c r="P45" i="3"/>
  <c r="O46" i="3"/>
  <c r="P46" i="3"/>
  <c r="O47" i="3"/>
  <c r="P47" i="3"/>
  <c r="O48" i="3"/>
  <c r="P48" i="3"/>
  <c r="O49" i="3"/>
  <c r="P49" i="3"/>
  <c r="O50" i="3"/>
  <c r="P50" i="3"/>
  <c r="O51" i="3"/>
  <c r="P51" i="3"/>
  <c r="O52" i="3"/>
  <c r="P52" i="3"/>
  <c r="O53" i="3"/>
  <c r="P53" i="3"/>
  <c r="O54" i="3"/>
  <c r="P54" i="3"/>
  <c r="O55" i="3"/>
  <c r="P55" i="3"/>
  <c r="O56" i="3"/>
  <c r="P56" i="3"/>
  <c r="O57" i="3"/>
  <c r="P57" i="3"/>
  <c r="O58" i="3"/>
  <c r="P58" i="3"/>
  <c r="O59" i="3"/>
  <c r="P59" i="3"/>
  <c r="O60" i="3"/>
  <c r="P60" i="3"/>
  <c r="O61" i="3"/>
  <c r="P61" i="3"/>
  <c r="O62" i="3"/>
  <c r="P62" i="3"/>
  <c r="O63" i="3"/>
  <c r="P63" i="3"/>
  <c r="O64" i="3"/>
  <c r="P64" i="3"/>
  <c r="O65" i="3"/>
  <c r="P65" i="3"/>
  <c r="O66" i="3"/>
  <c r="P66" i="3"/>
  <c r="O67" i="3"/>
  <c r="P67" i="3"/>
  <c r="O68" i="3"/>
  <c r="P68" i="3"/>
  <c r="O69" i="3"/>
  <c r="P69" i="3"/>
  <c r="O70" i="3"/>
  <c r="P70" i="3"/>
  <c r="O71" i="3"/>
  <c r="P71" i="3"/>
  <c r="O72" i="3"/>
  <c r="P72" i="3"/>
  <c r="O73" i="3"/>
  <c r="P73" i="3"/>
  <c r="O74" i="3"/>
  <c r="P74" i="3"/>
  <c r="O75" i="3"/>
  <c r="P75" i="3"/>
  <c r="O76" i="3"/>
  <c r="P76" i="3"/>
  <c r="O77" i="3"/>
  <c r="P77" i="3"/>
  <c r="O78" i="3"/>
  <c r="P78" i="3"/>
  <c r="O79" i="3"/>
  <c r="P79" i="3"/>
  <c r="O80" i="3"/>
  <c r="P80" i="3"/>
  <c r="O81" i="3"/>
  <c r="P81" i="3"/>
  <c r="O82" i="3"/>
  <c r="P82" i="3"/>
  <c r="O83" i="3"/>
  <c r="P83" i="3"/>
  <c r="O84" i="3"/>
  <c r="P84" i="3"/>
  <c r="O85" i="3"/>
  <c r="P85" i="3"/>
  <c r="O86" i="3"/>
  <c r="P86" i="3"/>
  <c r="O87" i="3"/>
  <c r="P87" i="3"/>
  <c r="O88" i="3"/>
  <c r="P88" i="3"/>
  <c r="O89" i="3"/>
  <c r="P89" i="3"/>
  <c r="O90" i="3"/>
  <c r="P90" i="3"/>
  <c r="O91" i="3"/>
  <c r="P91" i="3"/>
  <c r="O92" i="3"/>
  <c r="P92" i="3"/>
  <c r="O93" i="3"/>
  <c r="P93" i="3"/>
  <c r="F37" i="1" l="1"/>
  <c r="F42" i="1"/>
  <c r="E30" i="1"/>
  <c r="B55" i="11" l="1"/>
  <c r="B22" i="11"/>
  <c r="I54" i="11"/>
  <c r="I55" i="11"/>
  <c r="I56" i="11"/>
  <c r="I57" i="11"/>
  <c r="I58" i="11"/>
  <c r="I59" i="11"/>
  <c r="I60" i="11"/>
  <c r="I61" i="11"/>
  <c r="I62" i="11"/>
  <c r="I63" i="11"/>
  <c r="I64" i="11"/>
  <c r="I65" i="11"/>
  <c r="I66" i="11"/>
  <c r="I67" i="11"/>
  <c r="I68" i="11"/>
  <c r="I69" i="11"/>
  <c r="I70" i="11"/>
  <c r="I71" i="11"/>
  <c r="I72" i="11"/>
  <c r="I73" i="11"/>
  <c r="I74" i="11"/>
  <c r="I75" i="11"/>
  <c r="I76" i="11"/>
  <c r="I77" i="11"/>
  <c r="I53" i="11"/>
  <c r="G46" i="11"/>
  <c r="B54" i="11"/>
  <c r="B56" i="11"/>
  <c r="B57" i="11"/>
  <c r="B58" i="11"/>
  <c r="B59" i="11"/>
  <c r="B60" i="11"/>
  <c r="B61" i="11"/>
  <c r="B62" i="11"/>
  <c r="B63" i="11"/>
  <c r="B64" i="11"/>
  <c r="B65" i="11"/>
  <c r="B66" i="11"/>
  <c r="B67" i="11"/>
  <c r="B68" i="11"/>
  <c r="B69" i="11"/>
  <c r="B70" i="11"/>
  <c r="B71" i="11"/>
  <c r="B72" i="11"/>
  <c r="B73" i="11"/>
  <c r="B74" i="11"/>
  <c r="B75" i="11"/>
  <c r="B76" i="11"/>
  <c r="B77" i="11"/>
  <c r="B53" i="11"/>
  <c r="F6" i="11"/>
  <c r="B23" i="11"/>
  <c r="B24" i="11"/>
  <c r="B25" i="11"/>
  <c r="B26" i="11"/>
  <c r="B27" i="11"/>
  <c r="B28" i="11"/>
  <c r="B29" i="11"/>
  <c r="B30" i="11"/>
  <c r="B31" i="11"/>
  <c r="B32" i="11"/>
  <c r="B33" i="11"/>
  <c r="B34" i="11"/>
  <c r="B35" i="11"/>
  <c r="B36" i="11"/>
  <c r="B37" i="11"/>
  <c r="B38" i="11"/>
  <c r="B39" i="11"/>
  <c r="B40" i="11"/>
  <c r="B41" i="11"/>
  <c r="B42" i="11"/>
  <c r="B43" i="11"/>
  <c r="B44" i="11"/>
  <c r="B45" i="11"/>
  <c r="B46" i="11"/>
  <c r="G7" i="11" l="1"/>
  <c r="I7" i="11" s="1"/>
  <c r="G6" i="11"/>
  <c r="I6" i="11" s="1"/>
  <c r="G22" i="11" l="1"/>
  <c r="G23" i="11"/>
  <c r="G24" i="11"/>
  <c r="G25" i="11"/>
  <c r="G26" i="11"/>
  <c r="G27" i="11"/>
  <c r="G28" i="11"/>
  <c r="G29" i="11"/>
  <c r="G30" i="11"/>
  <c r="G31" i="11"/>
  <c r="G32" i="11"/>
  <c r="G33" i="11"/>
  <c r="G34" i="11"/>
  <c r="G35" i="11"/>
  <c r="G36" i="11"/>
  <c r="G37" i="11"/>
  <c r="G38" i="11"/>
  <c r="G39" i="11"/>
  <c r="G40" i="11"/>
  <c r="G41" i="11"/>
  <c r="G42" i="11"/>
  <c r="G43" i="11"/>
  <c r="G44" i="11"/>
  <c r="G45" i="11"/>
  <c r="D26" i="1" l="1"/>
  <c r="M33" i="1"/>
  <c r="K56" i="12" l="1"/>
  <c r="I56" i="12"/>
  <c r="H56" i="12"/>
  <c r="I28" i="3" l="1"/>
  <c r="J28" i="3" s="1"/>
  <c r="I30" i="3"/>
  <c r="J30" i="3" s="1"/>
  <c r="K30" i="3" s="1"/>
  <c r="I32" i="3"/>
  <c r="J32" i="3" s="1"/>
  <c r="K32" i="3" s="1"/>
  <c r="I37" i="3"/>
  <c r="J37" i="3" s="1"/>
  <c r="K37" i="3" s="1"/>
  <c r="I38" i="3"/>
  <c r="J38" i="3" s="1"/>
  <c r="K38" i="3" s="1"/>
  <c r="I39" i="3"/>
  <c r="J39" i="3" s="1"/>
  <c r="K39" i="3" s="1"/>
  <c r="I40" i="3"/>
  <c r="J40" i="3" s="1"/>
  <c r="K40" i="3" s="1"/>
  <c r="I41" i="3"/>
  <c r="J41" i="3" s="1"/>
  <c r="K41" i="3" s="1"/>
  <c r="I42" i="3"/>
  <c r="J42" i="3" s="1"/>
  <c r="K42" i="3" s="1"/>
  <c r="I43" i="3"/>
  <c r="J43" i="3" s="1"/>
  <c r="K43" i="3" s="1"/>
  <c r="I44" i="3"/>
  <c r="J44" i="3" s="1"/>
  <c r="K44" i="3" s="1"/>
  <c r="I45" i="3"/>
  <c r="J45" i="3" s="1"/>
  <c r="K45" i="3" s="1"/>
  <c r="I46" i="3"/>
  <c r="J46" i="3" s="1"/>
  <c r="K46" i="3" s="1"/>
  <c r="I47" i="3"/>
  <c r="J47" i="3" s="1"/>
  <c r="K47" i="3" s="1"/>
  <c r="I48" i="3"/>
  <c r="J48" i="3" s="1"/>
  <c r="K48" i="3" s="1"/>
  <c r="I49" i="3"/>
  <c r="J49" i="3" s="1"/>
  <c r="K49" i="3" s="1"/>
  <c r="I50" i="3"/>
  <c r="J50" i="3" s="1"/>
  <c r="K50" i="3" s="1"/>
  <c r="I51" i="3"/>
  <c r="J51" i="3" s="1"/>
  <c r="K51" i="3" s="1"/>
  <c r="I52" i="3"/>
  <c r="J52" i="3" s="1"/>
  <c r="K52" i="3" s="1"/>
  <c r="I53" i="3"/>
  <c r="J53" i="3" s="1"/>
  <c r="K53" i="3" s="1"/>
  <c r="I54" i="3"/>
  <c r="J54" i="3" s="1"/>
  <c r="K54" i="3" s="1"/>
  <c r="I55" i="3"/>
  <c r="J55" i="3" s="1"/>
  <c r="K55" i="3" s="1"/>
  <c r="I56" i="3"/>
  <c r="J56" i="3" s="1"/>
  <c r="K56" i="3" s="1"/>
  <c r="I57" i="3"/>
  <c r="J57" i="3" s="1"/>
  <c r="K57" i="3" s="1"/>
  <c r="I58" i="3"/>
  <c r="J58" i="3" s="1"/>
  <c r="K58" i="3" s="1"/>
  <c r="I59" i="3"/>
  <c r="J59" i="3" s="1"/>
  <c r="K59" i="3" s="1"/>
  <c r="I60" i="3"/>
  <c r="J60" i="3" s="1"/>
  <c r="K60" i="3" s="1"/>
  <c r="I61" i="3"/>
  <c r="J61" i="3" s="1"/>
  <c r="K61" i="3" s="1"/>
  <c r="I62" i="3"/>
  <c r="J62" i="3" s="1"/>
  <c r="K62" i="3" s="1"/>
  <c r="I63" i="3"/>
  <c r="J63" i="3" s="1"/>
  <c r="K63" i="3" s="1"/>
  <c r="I64" i="3"/>
  <c r="J64" i="3" s="1"/>
  <c r="K64" i="3" s="1"/>
  <c r="I65" i="3"/>
  <c r="J65" i="3" s="1"/>
  <c r="K65" i="3" s="1"/>
  <c r="I66" i="3"/>
  <c r="J66" i="3" s="1"/>
  <c r="K66" i="3" s="1"/>
  <c r="I67" i="3"/>
  <c r="J67" i="3" s="1"/>
  <c r="K67" i="3" s="1"/>
  <c r="I68" i="3"/>
  <c r="J68" i="3" s="1"/>
  <c r="K68" i="3" s="1"/>
  <c r="I69" i="3"/>
  <c r="J69" i="3" s="1"/>
  <c r="K69" i="3" s="1"/>
  <c r="I70" i="3"/>
  <c r="J70" i="3" s="1"/>
  <c r="K70" i="3" s="1"/>
  <c r="I71" i="3"/>
  <c r="J71" i="3" s="1"/>
  <c r="K71" i="3" s="1"/>
  <c r="I72" i="3"/>
  <c r="I73" i="3"/>
  <c r="I74" i="3"/>
  <c r="I75" i="3"/>
  <c r="I76" i="3"/>
  <c r="I77" i="3"/>
  <c r="I78" i="3"/>
  <c r="I79" i="3"/>
  <c r="I80" i="3"/>
  <c r="I81" i="3"/>
  <c r="I82" i="3"/>
  <c r="I83" i="3"/>
  <c r="I84" i="3"/>
  <c r="I85" i="3"/>
  <c r="I86" i="3"/>
  <c r="I87" i="3"/>
  <c r="I88" i="3"/>
  <c r="I89" i="3"/>
  <c r="I90" i="3"/>
  <c r="I91" i="3"/>
  <c r="I92" i="3"/>
  <c r="I93" i="3"/>
  <c r="J88" i="3" l="1"/>
  <c r="K88" i="3" s="1"/>
  <c r="J80" i="3"/>
  <c r="K80" i="3" s="1"/>
  <c r="J72" i="3"/>
  <c r="K72" i="3" s="1"/>
  <c r="J79" i="3"/>
  <c r="K79" i="3" s="1"/>
  <c r="J89" i="3"/>
  <c r="K89" i="3" s="1"/>
  <c r="J73" i="3"/>
  <c r="K73" i="3" s="1"/>
  <c r="J93" i="3"/>
  <c r="K93" i="3" s="1"/>
  <c r="J78" i="3"/>
  <c r="K78" i="3" s="1"/>
  <c r="J92" i="3"/>
  <c r="K92" i="3" s="1"/>
  <c r="J76" i="3"/>
  <c r="K76" i="3" s="1"/>
  <c r="J87" i="3"/>
  <c r="K87" i="3" s="1"/>
  <c r="J85" i="3"/>
  <c r="K85" i="3" s="1"/>
  <c r="J91" i="3"/>
  <c r="K91" i="3" s="1"/>
  <c r="J81" i="3"/>
  <c r="K81" i="3" s="1"/>
  <c r="J86" i="3"/>
  <c r="K86" i="3" s="1"/>
  <c r="J77" i="3"/>
  <c r="K77" i="3" s="1"/>
  <c r="J84" i="3"/>
  <c r="K84" i="3" s="1"/>
  <c r="J83" i="3"/>
  <c r="K83" i="3" s="1"/>
  <c r="J75" i="3"/>
  <c r="K75" i="3" s="1"/>
  <c r="J90" i="3"/>
  <c r="K90" i="3" s="1"/>
  <c r="J82" i="3"/>
  <c r="K82" i="3" s="1"/>
  <c r="J74" i="3"/>
  <c r="K74" i="3" s="1"/>
  <c r="K28" i="3"/>
  <c r="D7" i="3"/>
  <c r="D6" i="3"/>
  <c r="C7" i="3"/>
  <c r="C6" i="3"/>
  <c r="K3" i="3" l="1"/>
  <c r="H2" i="10"/>
  <c r="E33" i="10" l="1"/>
  <c r="I23" i="10"/>
  <c r="E31" i="10"/>
  <c r="F14" i="10"/>
  <c r="E36" i="10"/>
  <c r="E15" i="10"/>
  <c r="F32" i="10"/>
  <c r="F33" i="10"/>
  <c r="G33" i="10" s="1"/>
  <c r="K11" i="10"/>
  <c r="E12" i="10"/>
  <c r="E35" i="10"/>
  <c r="E13" i="10"/>
  <c r="F12" i="10"/>
  <c r="F13" i="10"/>
  <c r="F16" i="10"/>
  <c r="K23" i="10"/>
  <c r="E14" i="10"/>
  <c r="L11" i="10"/>
  <c r="E32" i="10"/>
  <c r="F15" i="10"/>
  <c r="E34" i="10"/>
  <c r="F35" i="10"/>
  <c r="F31" i="10"/>
  <c r="G31" i="10" s="1"/>
  <c r="F34" i="10"/>
  <c r="E16" i="10"/>
  <c r="L10" i="10"/>
  <c r="K21" i="10"/>
  <c r="E17" i="10"/>
  <c r="K10" i="10"/>
  <c r="I21" i="10"/>
  <c r="L21" i="10"/>
  <c r="I33" i="3"/>
  <c r="J33" i="3" s="1"/>
  <c r="K33" i="3" s="1"/>
  <c r="I34" i="3"/>
  <c r="J34" i="3" s="1"/>
  <c r="K34" i="3" s="1"/>
  <c r="I35" i="3"/>
  <c r="J35" i="3" s="1"/>
  <c r="K35" i="3" s="1"/>
  <c r="I27" i="3"/>
  <c r="I36" i="3"/>
  <c r="J36" i="3" s="1"/>
  <c r="K36" i="3" s="1"/>
  <c r="I31" i="3"/>
  <c r="J31" i="3" s="1"/>
  <c r="K31" i="3" s="1"/>
  <c r="I26" i="3"/>
  <c r="J26" i="3" s="1"/>
  <c r="K26" i="3" s="1"/>
  <c r="I25" i="3"/>
  <c r="I19" i="3"/>
  <c r="J19" i="3" s="1"/>
  <c r="K19" i="3" s="1"/>
  <c r="I23" i="3"/>
  <c r="J23" i="3" s="1"/>
  <c r="K23" i="3" s="1"/>
  <c r="I16" i="3"/>
  <c r="J16" i="3" s="1"/>
  <c r="K16" i="3" s="1"/>
  <c r="I20" i="3"/>
  <c r="J20" i="3" s="1"/>
  <c r="K20" i="3" s="1"/>
  <c r="I24" i="3"/>
  <c r="J24" i="3" s="1"/>
  <c r="K24" i="3" s="1"/>
  <c r="I17" i="3"/>
  <c r="J17" i="3" s="1"/>
  <c r="K17" i="3" s="1"/>
  <c r="J21" i="3"/>
  <c r="K21" i="3" s="1"/>
  <c r="I29" i="3"/>
  <c r="J29" i="3" s="1"/>
  <c r="K29" i="3" s="1"/>
  <c r="K7" i="10" s="1"/>
  <c r="K18" i="10" s="1"/>
  <c r="I18" i="3"/>
  <c r="J18" i="3" s="1"/>
  <c r="K18" i="3" s="1"/>
  <c r="I22" i="3"/>
  <c r="J22" i="3" s="1"/>
  <c r="K22" i="3" s="1"/>
  <c r="L8" i="10" l="1"/>
  <c r="L7" i="10"/>
  <c r="K8" i="10"/>
  <c r="G15" i="10"/>
  <c r="G35" i="10"/>
  <c r="G12" i="10"/>
  <c r="G16" i="10"/>
  <c r="G14" i="10"/>
  <c r="G34" i="10"/>
  <c r="G13" i="10"/>
  <c r="G32" i="10"/>
  <c r="J27" i="3"/>
  <c r="K27" i="3" s="1"/>
  <c r="J25" i="3"/>
  <c r="K25" i="3" s="1"/>
  <c r="K15"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K6" i="10" l="1"/>
  <c r="L6" i="10"/>
  <c r="H5" i="9"/>
  <c r="G7" i="9" s="1"/>
  <c r="K7" i="6"/>
  <c r="A23" i="1" l="1"/>
  <c r="H29" i="8"/>
  <c r="Z15" i="3" l="1"/>
  <c r="F10" i="1"/>
  <c r="C39" i="10" l="1"/>
  <c r="C20" i="10"/>
  <c r="C4" i="8"/>
  <c r="I4" i="10"/>
  <c r="H4" i="10"/>
  <c r="D22" i="9" l="1"/>
  <c r="F6" i="9"/>
  <c r="H17" i="9"/>
  <c r="F5" i="9"/>
  <c r="H7" i="9" l="1"/>
  <c r="G10" i="9"/>
  <c r="I10" i="9" s="1"/>
  <c r="H15" i="9"/>
  <c r="G18" i="9"/>
  <c r="I18" i="9" s="1"/>
  <c r="I7" i="9"/>
  <c r="H12" i="9"/>
  <c r="H10" i="9"/>
  <c r="G13" i="9"/>
  <c r="I13" i="9" s="1"/>
  <c r="H18" i="9"/>
  <c r="H11" i="9"/>
  <c r="G14" i="9"/>
  <c r="I14" i="9" s="1"/>
  <c r="G15" i="9"/>
  <c r="I15" i="9" s="1"/>
  <c r="G8" i="9"/>
  <c r="I8" i="9" s="1"/>
  <c r="H13" i="9"/>
  <c r="G16" i="9"/>
  <c r="I16" i="9" s="1"/>
  <c r="H8" i="9"/>
  <c r="G11" i="9"/>
  <c r="I11" i="9" s="1"/>
  <c r="H16" i="9"/>
  <c r="G17" i="9"/>
  <c r="I17" i="9" s="1"/>
  <c r="G9" i="9"/>
  <c r="I9" i="9" s="1"/>
  <c r="H14" i="9"/>
  <c r="H9" i="9"/>
  <c r="G12" i="9"/>
  <c r="I12" i="9" s="1"/>
  <c r="H48" i="8"/>
  <c r="F48" i="8"/>
  <c r="H47" i="8"/>
  <c r="F47" i="8"/>
  <c r="E46" i="8"/>
  <c r="A21" i="1"/>
  <c r="G49" i="8" l="1"/>
  <c r="G19" i="9"/>
  <c r="E22" i="9" s="1"/>
  <c r="G31" i="8" l="1"/>
  <c r="F30" i="8"/>
  <c r="G24" i="8"/>
  <c r="G16" i="8" l="1"/>
  <c r="G17" i="8"/>
  <c r="G19" i="8"/>
  <c r="I19" i="8" s="1"/>
  <c r="G20" i="8"/>
  <c r="I20" i="8" s="1"/>
  <c r="G18" i="8"/>
  <c r="I18" i="8" s="1"/>
  <c r="G25" i="8"/>
  <c r="I25" i="8" s="1"/>
  <c r="G21" i="8"/>
  <c r="I21" i="8" s="1"/>
  <c r="G22" i="8"/>
  <c r="I22" i="8" s="1"/>
  <c r="G23" i="8"/>
  <c r="I23" i="8" s="1"/>
  <c r="I15" i="8"/>
  <c r="G33" i="8"/>
  <c r="I33" i="8" s="1"/>
  <c r="G34" i="8"/>
  <c r="I34" i="8" s="1"/>
  <c r="G35" i="8"/>
  <c r="I35" i="8" s="1"/>
  <c r="G36" i="8"/>
  <c r="I36" i="8" s="1"/>
  <c r="G32" i="8"/>
  <c r="H31" i="8"/>
  <c r="H32" i="8"/>
  <c r="H36" i="8"/>
  <c r="H34" i="8"/>
  <c r="H35" i="8"/>
  <c r="H33" i="8"/>
  <c r="F13" i="8"/>
  <c r="E37" i="8"/>
  <c r="D41" i="8" s="1"/>
  <c r="I24" i="8"/>
  <c r="F14" i="8"/>
  <c r="E37" i="10" l="1"/>
  <c r="E18" i="10"/>
  <c r="G37" i="8"/>
  <c r="I16" i="8"/>
  <c r="G26" i="8"/>
  <c r="E40" i="8" s="1"/>
  <c r="D42" i="8"/>
  <c r="I17" i="8"/>
  <c r="H21" i="8"/>
  <c r="H24" i="8"/>
  <c r="H19" i="8"/>
  <c r="H16" i="8"/>
  <c r="H20" i="8"/>
  <c r="H18" i="8"/>
  <c r="H22" i="8"/>
  <c r="H17" i="8"/>
  <c r="H25" i="8"/>
  <c r="H15" i="8"/>
  <c r="H23" i="8"/>
  <c r="H37" i="8"/>
  <c r="F17" i="10" l="1"/>
  <c r="G17" i="10" s="1"/>
  <c r="F36" i="10"/>
  <c r="G36" i="10" s="1"/>
  <c r="L9" i="10"/>
  <c r="K9" i="10"/>
  <c r="F40" i="8"/>
  <c r="I33" i="12"/>
  <c r="E41" i="8"/>
  <c r="F37" i="10" l="1"/>
  <c r="G37" i="10" s="1"/>
  <c r="F18" i="10"/>
  <c r="G18" i="10" s="1"/>
  <c r="F41" i="8"/>
  <c r="E42" i="8"/>
  <c r="I37" i="8"/>
  <c r="O13" i="3"/>
  <c r="K11" i="3"/>
  <c r="I20" i="10" l="1"/>
  <c r="K20" i="10"/>
  <c r="L20" i="10"/>
  <c r="F42" i="8"/>
  <c r="Y3" i="3"/>
  <c r="C3" i="3"/>
  <c r="X27" i="3" l="1"/>
  <c r="Y27" i="3" s="1"/>
  <c r="X28" i="3"/>
  <c r="Y28" i="3" s="1"/>
  <c r="X31" i="3"/>
  <c r="Y31" i="3" s="1"/>
  <c r="X33" i="3"/>
  <c r="Y33" i="3" s="1"/>
  <c r="X32" i="3"/>
  <c r="Y32" i="3" s="1"/>
  <c r="E17" i="11"/>
  <c r="F35" i="12"/>
  <c r="G34" i="12"/>
  <c r="F34" i="12"/>
  <c r="F44" i="12"/>
  <c r="E32" i="1"/>
  <c r="Z92" i="3"/>
  <c r="Z88" i="3"/>
  <c r="Z84" i="3"/>
  <c r="Z80" i="3"/>
  <c r="Z76" i="3"/>
  <c r="Z72" i="3"/>
  <c r="Z68" i="3"/>
  <c r="Z64" i="3"/>
  <c r="Z60" i="3"/>
  <c r="Z56" i="3"/>
  <c r="Z52" i="3"/>
  <c r="Z48" i="3"/>
  <c r="Z44" i="3"/>
  <c r="Z40" i="3"/>
  <c r="Z36" i="3"/>
  <c r="Z32" i="3"/>
  <c r="R7" i="3"/>
  <c r="Q7" i="3"/>
  <c r="Z91" i="3"/>
  <c r="Z87" i="3"/>
  <c r="Z83" i="3"/>
  <c r="X68" i="3"/>
  <c r="X60" i="3"/>
  <c r="X44" i="3"/>
  <c r="X20" i="3"/>
  <c r="X67" i="3"/>
  <c r="X35" i="3"/>
  <c r="X58" i="3"/>
  <c r="X42" i="3"/>
  <c r="X26" i="3"/>
  <c r="X49" i="3"/>
  <c r="X16" i="3"/>
  <c r="X72" i="3"/>
  <c r="X48" i="3"/>
  <c r="X40" i="3"/>
  <c r="X55" i="3"/>
  <c r="X47" i="3"/>
  <c r="X39" i="3"/>
  <c r="X54" i="3"/>
  <c r="X46" i="3"/>
  <c r="X61" i="3"/>
  <c r="X53" i="3"/>
  <c r="X37" i="3"/>
  <c r="Z24" i="3"/>
  <c r="Z20" i="3"/>
  <c r="Z28" i="3"/>
  <c r="Z19" i="3"/>
  <c r="Z93" i="3"/>
  <c r="Z89" i="3"/>
  <c r="Z85" i="3"/>
  <c r="Z81" i="3"/>
  <c r="Z77" i="3"/>
  <c r="Z73" i="3"/>
  <c r="Z69" i="3"/>
  <c r="Z65" i="3"/>
  <c r="Z61" i="3"/>
  <c r="Z57" i="3"/>
  <c r="Z53" i="3"/>
  <c r="Z49" i="3"/>
  <c r="Z45" i="3"/>
  <c r="Z41" i="3"/>
  <c r="Z37" i="3"/>
  <c r="Z33" i="3"/>
  <c r="Z29" i="3"/>
  <c r="Z25" i="3"/>
  <c r="Z21" i="3"/>
  <c r="Z16" i="3"/>
  <c r="Z79" i="3"/>
  <c r="Z75" i="3"/>
  <c r="Z71" i="3"/>
  <c r="Z67" i="3"/>
  <c r="Z63" i="3"/>
  <c r="Z59" i="3"/>
  <c r="Z55" i="3"/>
  <c r="Z51" i="3"/>
  <c r="Z47" i="3"/>
  <c r="Z43" i="3"/>
  <c r="Z39" i="3"/>
  <c r="Z35" i="3"/>
  <c r="Z31" i="3"/>
  <c r="Z27" i="3"/>
  <c r="Z23" i="3"/>
  <c r="Z18" i="3"/>
  <c r="Z90" i="3"/>
  <c r="Z86" i="3"/>
  <c r="Z82" i="3"/>
  <c r="Z78" i="3"/>
  <c r="Z74" i="3"/>
  <c r="Z70" i="3"/>
  <c r="Z66" i="3"/>
  <c r="Z62" i="3"/>
  <c r="Z58" i="3"/>
  <c r="Z54" i="3"/>
  <c r="Z50" i="3"/>
  <c r="Z46" i="3"/>
  <c r="Z42" i="3"/>
  <c r="Z38" i="3"/>
  <c r="Z34" i="3"/>
  <c r="Z30" i="3"/>
  <c r="Z26" i="3"/>
  <c r="Z22" i="3"/>
  <c r="Z17" i="3"/>
  <c r="R4" i="3"/>
  <c r="R6" i="3"/>
  <c r="Q4" i="3"/>
  <c r="C85" i="13" s="1"/>
  <c r="Q6" i="3"/>
  <c r="C84" i="13" s="1"/>
  <c r="Q5" i="3"/>
  <c r="C86" i="13" s="1"/>
  <c r="Q3" i="3"/>
  <c r="R3" i="3"/>
  <c r="R5" i="3"/>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A20" i="7"/>
  <c r="B20" i="7"/>
  <c r="C20" i="7"/>
  <c r="D20" i="7"/>
  <c r="E20" i="7"/>
  <c r="F20" i="7"/>
  <c r="G20" i="7"/>
  <c r="H20" i="7"/>
  <c r="A21" i="7"/>
  <c r="B21" i="7"/>
  <c r="C21" i="7"/>
  <c r="D21" i="7"/>
  <c r="E21" i="7"/>
  <c r="F21" i="7"/>
  <c r="G21" i="7"/>
  <c r="H21" i="7"/>
  <c r="A22" i="7"/>
  <c r="B22" i="7"/>
  <c r="C22" i="7"/>
  <c r="D22" i="7"/>
  <c r="E22" i="7"/>
  <c r="F22" i="7"/>
  <c r="G22" i="7"/>
  <c r="H22" i="7"/>
  <c r="A23" i="7"/>
  <c r="B23" i="7"/>
  <c r="C23" i="7"/>
  <c r="D23" i="7"/>
  <c r="E23" i="7"/>
  <c r="F23" i="7"/>
  <c r="G23" i="7"/>
  <c r="H23" i="7"/>
  <c r="A24" i="7"/>
  <c r="B24" i="7"/>
  <c r="C24" i="7"/>
  <c r="D24" i="7"/>
  <c r="E24" i="7"/>
  <c r="F24" i="7"/>
  <c r="G24" i="7"/>
  <c r="H24" i="7"/>
  <c r="A25" i="7"/>
  <c r="B25" i="7"/>
  <c r="C25" i="7"/>
  <c r="D25" i="7"/>
  <c r="E25" i="7"/>
  <c r="F25" i="7"/>
  <c r="G25" i="7"/>
  <c r="H25" i="7"/>
  <c r="A26" i="7"/>
  <c r="B26" i="7"/>
  <c r="C26" i="7"/>
  <c r="D26" i="7"/>
  <c r="E26" i="7"/>
  <c r="F26" i="7"/>
  <c r="G26" i="7"/>
  <c r="H26" i="7"/>
  <c r="A27" i="7"/>
  <c r="B27" i="7"/>
  <c r="C27" i="7"/>
  <c r="D27" i="7"/>
  <c r="E27" i="7"/>
  <c r="F27" i="7"/>
  <c r="G27" i="7"/>
  <c r="H27" i="7"/>
  <c r="A28" i="7"/>
  <c r="B28" i="7"/>
  <c r="C28" i="7"/>
  <c r="D28" i="7"/>
  <c r="E28" i="7"/>
  <c r="F28" i="7"/>
  <c r="G28" i="7"/>
  <c r="H28" i="7"/>
  <c r="A29" i="7"/>
  <c r="B29" i="7"/>
  <c r="C29" i="7"/>
  <c r="D29" i="7"/>
  <c r="E29" i="7"/>
  <c r="F29" i="7"/>
  <c r="G29" i="7"/>
  <c r="H29" i="7"/>
  <c r="A30" i="7"/>
  <c r="B30" i="7"/>
  <c r="C30" i="7"/>
  <c r="D30" i="7"/>
  <c r="E30" i="7"/>
  <c r="F30" i="7"/>
  <c r="G30" i="7"/>
  <c r="H30" i="7"/>
  <c r="A31" i="7"/>
  <c r="B31" i="7"/>
  <c r="C31" i="7"/>
  <c r="D31" i="7"/>
  <c r="E31" i="7"/>
  <c r="F31" i="7"/>
  <c r="G31" i="7"/>
  <c r="H31" i="7"/>
  <c r="A32" i="7"/>
  <c r="B32" i="7"/>
  <c r="C32" i="7"/>
  <c r="D32" i="7"/>
  <c r="E32" i="7"/>
  <c r="F32" i="7"/>
  <c r="G32" i="7"/>
  <c r="H32" i="7"/>
  <c r="A33" i="7"/>
  <c r="B33" i="7"/>
  <c r="C33" i="7"/>
  <c r="D33" i="7"/>
  <c r="E33" i="7"/>
  <c r="F33" i="7"/>
  <c r="G33" i="7"/>
  <c r="H33" i="7"/>
  <c r="A34" i="7"/>
  <c r="B34" i="7"/>
  <c r="C34" i="7"/>
  <c r="D34" i="7"/>
  <c r="E34" i="7"/>
  <c r="F34" i="7"/>
  <c r="G34" i="7"/>
  <c r="H34" i="7"/>
  <c r="A35" i="7"/>
  <c r="B35" i="7"/>
  <c r="C35" i="7"/>
  <c r="D35" i="7"/>
  <c r="E35" i="7"/>
  <c r="F35" i="7"/>
  <c r="G35" i="7"/>
  <c r="H35" i="7"/>
  <c r="A36" i="7"/>
  <c r="B36" i="7"/>
  <c r="C36" i="7"/>
  <c r="D36" i="7"/>
  <c r="E36" i="7"/>
  <c r="F36" i="7"/>
  <c r="G36" i="7"/>
  <c r="H36" i="7"/>
  <c r="A37" i="7"/>
  <c r="B37" i="7"/>
  <c r="C37" i="7"/>
  <c r="D37" i="7"/>
  <c r="E37" i="7"/>
  <c r="F37" i="7"/>
  <c r="G37" i="7"/>
  <c r="H37" i="7"/>
  <c r="A38" i="7"/>
  <c r="B38" i="7"/>
  <c r="C38" i="7"/>
  <c r="D38" i="7"/>
  <c r="E38" i="7"/>
  <c r="F38" i="7"/>
  <c r="G38" i="7"/>
  <c r="H38" i="7"/>
  <c r="A39" i="7"/>
  <c r="B39" i="7"/>
  <c r="C39" i="7"/>
  <c r="D39" i="7"/>
  <c r="E39" i="7"/>
  <c r="F39" i="7"/>
  <c r="G39" i="7"/>
  <c r="H39" i="7"/>
  <c r="A40" i="7"/>
  <c r="B40" i="7"/>
  <c r="C40" i="7"/>
  <c r="D40" i="7"/>
  <c r="E40" i="7"/>
  <c r="F40" i="7"/>
  <c r="G40" i="7"/>
  <c r="H40" i="7"/>
  <c r="A41" i="7"/>
  <c r="B41" i="7"/>
  <c r="C41" i="7"/>
  <c r="D41" i="7"/>
  <c r="E41" i="7"/>
  <c r="F41" i="7"/>
  <c r="G41" i="7"/>
  <c r="H41" i="7"/>
  <c r="A42" i="7"/>
  <c r="B42" i="7"/>
  <c r="C42" i="7"/>
  <c r="D42" i="7"/>
  <c r="E42" i="7"/>
  <c r="F42" i="7"/>
  <c r="G42" i="7"/>
  <c r="H42" i="7"/>
  <c r="A43" i="7"/>
  <c r="B43" i="7"/>
  <c r="C43" i="7"/>
  <c r="D43" i="7"/>
  <c r="E43" i="7"/>
  <c r="F43" i="7"/>
  <c r="G43" i="7"/>
  <c r="H43" i="7"/>
  <c r="A44" i="7"/>
  <c r="B44" i="7"/>
  <c r="C44" i="7"/>
  <c r="D44" i="7"/>
  <c r="E44" i="7"/>
  <c r="F44" i="7"/>
  <c r="G44" i="7"/>
  <c r="H44" i="7"/>
  <c r="A45" i="7"/>
  <c r="B45" i="7"/>
  <c r="C45" i="7"/>
  <c r="D45" i="7"/>
  <c r="E45" i="7"/>
  <c r="F45" i="7"/>
  <c r="G45" i="7"/>
  <c r="H45" i="7"/>
  <c r="A46" i="7"/>
  <c r="B46" i="7"/>
  <c r="C46" i="7"/>
  <c r="D46" i="7"/>
  <c r="E46" i="7"/>
  <c r="F46" i="7"/>
  <c r="G46" i="7"/>
  <c r="H46" i="7"/>
  <c r="A47" i="7"/>
  <c r="B47" i="7"/>
  <c r="C47" i="7"/>
  <c r="D47" i="7"/>
  <c r="E47" i="7"/>
  <c r="F47" i="7"/>
  <c r="G47" i="7"/>
  <c r="H47" i="7"/>
  <c r="A48" i="7"/>
  <c r="B48" i="7"/>
  <c r="C48" i="7"/>
  <c r="D48" i="7"/>
  <c r="E48" i="7"/>
  <c r="F48" i="7"/>
  <c r="G48" i="7"/>
  <c r="H48" i="7"/>
  <c r="A49" i="7"/>
  <c r="B49" i="7"/>
  <c r="C49" i="7"/>
  <c r="D49" i="7"/>
  <c r="E49" i="7"/>
  <c r="F49" i="7"/>
  <c r="G49" i="7"/>
  <c r="H49" i="7"/>
  <c r="A50" i="7"/>
  <c r="B50" i="7"/>
  <c r="C50" i="7"/>
  <c r="D50" i="7"/>
  <c r="E50" i="7"/>
  <c r="F50" i="7"/>
  <c r="G50" i="7"/>
  <c r="H50" i="7"/>
  <c r="A51" i="7"/>
  <c r="B51" i="7"/>
  <c r="C51" i="7"/>
  <c r="D51" i="7"/>
  <c r="E51" i="7"/>
  <c r="F51" i="7"/>
  <c r="G51" i="7"/>
  <c r="H51" i="7"/>
  <c r="A52" i="7"/>
  <c r="B52" i="7"/>
  <c r="C52" i="7"/>
  <c r="D52" i="7"/>
  <c r="E52" i="7"/>
  <c r="F52" i="7"/>
  <c r="G52" i="7"/>
  <c r="H52" i="7"/>
  <c r="A53" i="7"/>
  <c r="B53" i="7"/>
  <c r="C53" i="7"/>
  <c r="D53" i="7"/>
  <c r="E53" i="7"/>
  <c r="F53" i="7"/>
  <c r="G53" i="7"/>
  <c r="H53" i="7"/>
  <c r="A54" i="7"/>
  <c r="B54" i="7"/>
  <c r="C54" i="7"/>
  <c r="D54" i="7"/>
  <c r="E54" i="7"/>
  <c r="F54" i="7"/>
  <c r="G54" i="7"/>
  <c r="H54" i="7"/>
  <c r="A55" i="7"/>
  <c r="B55" i="7"/>
  <c r="C55" i="7"/>
  <c r="D55" i="7"/>
  <c r="E55" i="7"/>
  <c r="F55" i="7"/>
  <c r="G55" i="7"/>
  <c r="H55" i="7"/>
  <c r="A56" i="7"/>
  <c r="B56" i="7"/>
  <c r="C56" i="7"/>
  <c r="D56" i="7"/>
  <c r="E56" i="7"/>
  <c r="F56" i="7"/>
  <c r="G56" i="7"/>
  <c r="H56" i="7"/>
  <c r="A57" i="7"/>
  <c r="B57" i="7"/>
  <c r="C57" i="7"/>
  <c r="D57" i="7"/>
  <c r="E57" i="7"/>
  <c r="F57" i="7"/>
  <c r="G57" i="7"/>
  <c r="H57" i="7"/>
  <c r="A58" i="7"/>
  <c r="B58" i="7"/>
  <c r="C58" i="7"/>
  <c r="D58" i="7"/>
  <c r="E58" i="7"/>
  <c r="F58" i="7"/>
  <c r="G58" i="7"/>
  <c r="H58" i="7"/>
  <c r="A59" i="7"/>
  <c r="B59" i="7"/>
  <c r="C59" i="7"/>
  <c r="D59" i="7"/>
  <c r="E59" i="7"/>
  <c r="F59" i="7"/>
  <c r="G59" i="7"/>
  <c r="H59" i="7"/>
  <c r="A60" i="7"/>
  <c r="B60" i="7"/>
  <c r="C60" i="7"/>
  <c r="D60" i="7"/>
  <c r="E60" i="7"/>
  <c r="F60" i="7"/>
  <c r="G60" i="7"/>
  <c r="H60" i="7"/>
  <c r="A61" i="7"/>
  <c r="B61" i="7"/>
  <c r="C61" i="7"/>
  <c r="D61" i="7"/>
  <c r="E61" i="7"/>
  <c r="F61" i="7"/>
  <c r="G61" i="7"/>
  <c r="H61" i="7"/>
  <c r="A62" i="7"/>
  <c r="B62" i="7"/>
  <c r="C62" i="7"/>
  <c r="D62" i="7"/>
  <c r="E62" i="7"/>
  <c r="F62" i="7"/>
  <c r="G62" i="7"/>
  <c r="H62" i="7"/>
  <c r="A63" i="7"/>
  <c r="B63" i="7"/>
  <c r="C63" i="7"/>
  <c r="D63" i="7"/>
  <c r="E63" i="7"/>
  <c r="F63" i="7"/>
  <c r="G63" i="7"/>
  <c r="H63" i="7"/>
  <c r="A64" i="7"/>
  <c r="B64" i="7"/>
  <c r="C64" i="7"/>
  <c r="D64" i="7"/>
  <c r="E64" i="7"/>
  <c r="F64" i="7"/>
  <c r="G64" i="7"/>
  <c r="H64" i="7"/>
  <c r="A65" i="7"/>
  <c r="B65" i="7"/>
  <c r="C65" i="7"/>
  <c r="D65" i="7"/>
  <c r="E65" i="7"/>
  <c r="F65" i="7"/>
  <c r="G65" i="7"/>
  <c r="H65" i="7"/>
  <c r="A66" i="7"/>
  <c r="B66" i="7"/>
  <c r="C66" i="7"/>
  <c r="D66" i="7"/>
  <c r="E66" i="7"/>
  <c r="F66" i="7"/>
  <c r="G66" i="7"/>
  <c r="H66" i="7"/>
  <c r="A67" i="7"/>
  <c r="B67" i="7"/>
  <c r="C67" i="7"/>
  <c r="D67" i="7"/>
  <c r="E67" i="7"/>
  <c r="F67" i="7"/>
  <c r="G67" i="7"/>
  <c r="H67" i="7"/>
  <c r="A68" i="7"/>
  <c r="B68" i="7"/>
  <c r="C68" i="7"/>
  <c r="D68" i="7"/>
  <c r="E68" i="7"/>
  <c r="F68" i="7"/>
  <c r="G68" i="7"/>
  <c r="H68" i="7"/>
  <c r="A69" i="7"/>
  <c r="B69" i="7"/>
  <c r="C69" i="7"/>
  <c r="D69" i="7"/>
  <c r="E69" i="7"/>
  <c r="F69" i="7"/>
  <c r="G69" i="7"/>
  <c r="H69" i="7"/>
  <c r="A70" i="7"/>
  <c r="B70" i="7"/>
  <c r="C70" i="7"/>
  <c r="D70" i="7"/>
  <c r="E70" i="7"/>
  <c r="F70" i="7"/>
  <c r="G70" i="7"/>
  <c r="H70" i="7"/>
  <c r="A71" i="7"/>
  <c r="B71" i="7"/>
  <c r="C71" i="7"/>
  <c r="D71" i="7"/>
  <c r="E71" i="7"/>
  <c r="F71" i="7"/>
  <c r="G71" i="7"/>
  <c r="H71" i="7"/>
  <c r="A72" i="7"/>
  <c r="B72" i="7"/>
  <c r="C72" i="7"/>
  <c r="D72" i="7"/>
  <c r="E72" i="7"/>
  <c r="F72" i="7"/>
  <c r="G72" i="7"/>
  <c r="H72" i="7"/>
  <c r="A73" i="7"/>
  <c r="B73" i="7"/>
  <c r="C73" i="7"/>
  <c r="D73" i="7"/>
  <c r="E73" i="7"/>
  <c r="F73" i="7"/>
  <c r="G73" i="7"/>
  <c r="H73" i="7"/>
  <c r="A74" i="7"/>
  <c r="B74" i="7"/>
  <c r="C74" i="7"/>
  <c r="D74" i="7"/>
  <c r="E74" i="7"/>
  <c r="F74" i="7"/>
  <c r="G74" i="7"/>
  <c r="H74" i="7"/>
  <c r="A75" i="7"/>
  <c r="B75" i="7"/>
  <c r="C75" i="7"/>
  <c r="D75" i="7"/>
  <c r="E75" i="7"/>
  <c r="F75" i="7"/>
  <c r="G75" i="7"/>
  <c r="H75" i="7"/>
  <c r="A76" i="7"/>
  <c r="B76" i="7"/>
  <c r="C76" i="7"/>
  <c r="D76" i="7"/>
  <c r="E76" i="7"/>
  <c r="F76" i="7"/>
  <c r="G76" i="7"/>
  <c r="H76" i="7"/>
  <c r="A77" i="7"/>
  <c r="B77" i="7"/>
  <c r="C77" i="7"/>
  <c r="D77" i="7"/>
  <c r="E77" i="7"/>
  <c r="F77" i="7"/>
  <c r="G77" i="7"/>
  <c r="H77" i="7"/>
  <c r="A78" i="7"/>
  <c r="B78" i="7"/>
  <c r="C78" i="7"/>
  <c r="D78" i="7"/>
  <c r="E78" i="7"/>
  <c r="F78" i="7"/>
  <c r="G78" i="7"/>
  <c r="H78" i="7"/>
  <c r="A79" i="7"/>
  <c r="B79" i="7"/>
  <c r="C79" i="7"/>
  <c r="D79" i="7"/>
  <c r="E79" i="7"/>
  <c r="F79" i="7"/>
  <c r="G79" i="7"/>
  <c r="H79" i="7"/>
  <c r="A80" i="7"/>
  <c r="B80" i="7"/>
  <c r="C80" i="7"/>
  <c r="D80" i="7"/>
  <c r="E80" i="7"/>
  <c r="F80" i="7"/>
  <c r="G80" i="7"/>
  <c r="H80" i="7"/>
  <c r="A81" i="7"/>
  <c r="B81" i="7"/>
  <c r="C81" i="7"/>
  <c r="D81" i="7"/>
  <c r="E81" i="7"/>
  <c r="F81" i="7"/>
  <c r="G81" i="7"/>
  <c r="H81" i="7"/>
  <c r="A82" i="7"/>
  <c r="B82" i="7"/>
  <c r="C82" i="7"/>
  <c r="D82" i="7"/>
  <c r="E82" i="7"/>
  <c r="F82" i="7"/>
  <c r="G82" i="7"/>
  <c r="H82" i="7"/>
  <c r="A83" i="7"/>
  <c r="B83" i="7"/>
  <c r="C83" i="7"/>
  <c r="D83" i="7"/>
  <c r="E83" i="7"/>
  <c r="F83" i="7"/>
  <c r="G83" i="7"/>
  <c r="H83" i="7"/>
  <c r="A84" i="7"/>
  <c r="B84" i="7"/>
  <c r="C84" i="7"/>
  <c r="D84" i="7"/>
  <c r="E84" i="7"/>
  <c r="F84" i="7"/>
  <c r="G84" i="7"/>
  <c r="H84" i="7"/>
  <c r="A85" i="7"/>
  <c r="B85" i="7"/>
  <c r="C85" i="7"/>
  <c r="D85" i="7"/>
  <c r="E85" i="7"/>
  <c r="F85" i="7"/>
  <c r="G85" i="7"/>
  <c r="H85" i="7"/>
  <c r="A86" i="7"/>
  <c r="B86" i="7"/>
  <c r="C86" i="7"/>
  <c r="D86" i="7"/>
  <c r="E86" i="7"/>
  <c r="F86" i="7"/>
  <c r="G86" i="7"/>
  <c r="H86" i="7"/>
  <c r="A87" i="7"/>
  <c r="B87" i="7"/>
  <c r="C87" i="7"/>
  <c r="D87" i="7"/>
  <c r="E87" i="7"/>
  <c r="F87" i="7"/>
  <c r="G87" i="7"/>
  <c r="H87" i="7"/>
  <c r="A88" i="7"/>
  <c r="B88" i="7"/>
  <c r="C88" i="7"/>
  <c r="D88" i="7"/>
  <c r="E88" i="7"/>
  <c r="F88" i="7"/>
  <c r="G88" i="7"/>
  <c r="H88" i="7"/>
  <c r="B10" i="7"/>
  <c r="D10" i="7"/>
  <c r="E10" i="7"/>
  <c r="F10" i="7"/>
  <c r="G10" i="7"/>
  <c r="H10" i="7"/>
  <c r="A10" i="7"/>
  <c r="H7" i="7"/>
  <c r="X89" i="3" l="1"/>
  <c r="Y89" i="3" s="1"/>
  <c r="AA89" i="3" s="1"/>
  <c r="AB89" i="3" s="1"/>
  <c r="X81" i="3"/>
  <c r="Y81" i="3" s="1"/>
  <c r="AA81" i="3" s="1"/>
  <c r="AB81" i="3" s="1"/>
  <c r="X90" i="3"/>
  <c r="Y90" i="3" s="1"/>
  <c r="AA90" i="3" s="1"/>
  <c r="AB90" i="3" s="1"/>
  <c r="X83" i="3"/>
  <c r="Y83" i="3" s="1"/>
  <c r="AA83" i="3" s="1"/>
  <c r="AB83" i="3" s="1"/>
  <c r="X76" i="3"/>
  <c r="Y76" i="3" s="1"/>
  <c r="AA76" i="3" s="1"/>
  <c r="AB76" i="3" s="1"/>
  <c r="X91" i="3"/>
  <c r="Y91" i="3" s="1"/>
  <c r="AA91" i="3" s="1"/>
  <c r="AB91" i="3" s="1"/>
  <c r="X30" i="3"/>
  <c r="Y30" i="3" s="1"/>
  <c r="AA30" i="3" s="1"/>
  <c r="AB30" i="3" s="1"/>
  <c r="X29" i="3"/>
  <c r="Y29" i="3" s="1"/>
  <c r="I19" i="10" s="1"/>
  <c r="C83" i="13"/>
  <c r="G35" i="12"/>
  <c r="I35" i="12" s="1"/>
  <c r="E36" i="12"/>
  <c r="F43" i="12"/>
  <c r="I34" i="12"/>
  <c r="F42" i="12"/>
  <c r="F40" i="1"/>
  <c r="H35" i="12" s="1"/>
  <c r="F38" i="1"/>
  <c r="F39" i="1"/>
  <c r="X25" i="3"/>
  <c r="Y25" i="3" s="1"/>
  <c r="Y49" i="3"/>
  <c r="AA49" i="3" s="1"/>
  <c r="AB49" i="3" s="1"/>
  <c r="X82" i="3"/>
  <c r="Y82" i="3" s="1"/>
  <c r="X59" i="3"/>
  <c r="Y59" i="3" s="1"/>
  <c r="X36" i="3"/>
  <c r="Y36" i="3" s="1"/>
  <c r="Y37" i="3"/>
  <c r="AA37" i="3" s="1"/>
  <c r="AB37" i="3" s="1"/>
  <c r="X23" i="3"/>
  <c r="Y23" i="3" s="1"/>
  <c r="X87" i="3"/>
  <c r="Y87" i="3" s="1"/>
  <c r="X80" i="3"/>
  <c r="Y80" i="3" s="1"/>
  <c r="X57" i="3"/>
  <c r="Y57" i="3" s="1"/>
  <c r="Y26" i="3"/>
  <c r="AA26" i="3" s="1"/>
  <c r="AB26" i="3" s="1"/>
  <c r="Y67" i="3"/>
  <c r="AA67" i="3" s="1"/>
  <c r="AB67" i="3" s="1"/>
  <c r="Y44" i="3"/>
  <c r="AA44" i="3" s="1"/>
  <c r="AB44" i="3" s="1"/>
  <c r="X79" i="3"/>
  <c r="Y79" i="3" s="1"/>
  <c r="X45" i="3"/>
  <c r="Y45" i="3" s="1"/>
  <c r="Y53" i="3"/>
  <c r="AA53" i="3" s="1"/>
  <c r="AB53" i="3" s="1"/>
  <c r="Y46" i="3"/>
  <c r="AA46" i="3" s="1"/>
  <c r="AB46" i="3" s="1"/>
  <c r="Y39" i="3"/>
  <c r="AA39" i="3" s="1"/>
  <c r="AB39" i="3" s="1"/>
  <c r="AA32" i="3"/>
  <c r="AB32" i="3" s="1"/>
  <c r="Y16" i="3"/>
  <c r="AA16" i="3" s="1"/>
  <c r="AB16" i="3" s="1"/>
  <c r="Y42" i="3"/>
  <c r="AA42" i="3" s="1"/>
  <c r="AB42" i="3" s="1"/>
  <c r="Y60" i="3"/>
  <c r="AA60" i="3" s="1"/>
  <c r="AB60" i="3" s="1"/>
  <c r="X24" i="3"/>
  <c r="Y24" i="3" s="1"/>
  <c r="Y61" i="3"/>
  <c r="AA61" i="3" s="1"/>
  <c r="AB61" i="3" s="1"/>
  <c r="Y54" i="3"/>
  <c r="AA54" i="3" s="1"/>
  <c r="AB54" i="3" s="1"/>
  <c r="Y47" i="3"/>
  <c r="AA47" i="3" s="1"/>
  <c r="AB47" i="3" s="1"/>
  <c r="Y40" i="3"/>
  <c r="AA40" i="3" s="1"/>
  <c r="AB40" i="3" s="1"/>
  <c r="AA27" i="3"/>
  <c r="AB27" i="3" s="1"/>
  <c r="Y68" i="3"/>
  <c r="AA68" i="3" s="1"/>
  <c r="AB68" i="3" s="1"/>
  <c r="X52" i="3"/>
  <c r="X69" i="3"/>
  <c r="Y69" i="3" s="1"/>
  <c r="X62" i="3"/>
  <c r="Y55" i="3"/>
  <c r="AA55" i="3" s="1"/>
  <c r="AB55" i="3" s="1"/>
  <c r="Y48" i="3"/>
  <c r="AA48" i="3" s="1"/>
  <c r="AB48" i="3" s="1"/>
  <c r="Y58" i="3"/>
  <c r="AA58" i="3" s="1"/>
  <c r="AB58" i="3" s="1"/>
  <c r="Y35" i="3"/>
  <c r="AA35" i="3" s="1"/>
  <c r="AB35" i="3" s="1"/>
  <c r="Y20" i="3"/>
  <c r="AA20" i="3" s="1"/>
  <c r="AB20" i="3" s="1"/>
  <c r="X93" i="3"/>
  <c r="Y93" i="3" s="1"/>
  <c r="X65" i="3"/>
  <c r="Y65" i="3" s="1"/>
  <c r="X86" i="3"/>
  <c r="Y86" i="3" s="1"/>
  <c r="X19" i="3"/>
  <c r="Y19" i="3" s="1"/>
  <c r="X77" i="3"/>
  <c r="Y77" i="3" s="1"/>
  <c r="X63" i="3"/>
  <c r="Y63" i="3" s="1"/>
  <c r="X56" i="3"/>
  <c r="Y56" i="3" s="1"/>
  <c r="X43" i="3"/>
  <c r="Y43" i="3" s="1"/>
  <c r="AA28" i="3"/>
  <c r="AB28" i="3" s="1"/>
  <c r="X84" i="3"/>
  <c r="Y84" i="3" s="1"/>
  <c r="Y72" i="3"/>
  <c r="AA72" i="3" s="1"/>
  <c r="AB72" i="3" s="1"/>
  <c r="X88" i="3"/>
  <c r="Y88" i="3" s="1"/>
  <c r="X21" i="3"/>
  <c r="Y21" i="3" s="1"/>
  <c r="X85" i="3"/>
  <c r="Y85" i="3" s="1"/>
  <c r="X71" i="3"/>
  <c r="Y71" i="3" s="1"/>
  <c r="X64" i="3"/>
  <c r="Y64" i="3" s="1"/>
  <c r="X74" i="3"/>
  <c r="Y74" i="3" s="1"/>
  <c r="X51" i="3"/>
  <c r="Y51" i="3" s="1"/>
  <c r="X92" i="3"/>
  <c r="Y92" i="3" s="1"/>
  <c r="R8" i="3"/>
  <c r="Q8" i="3"/>
  <c r="X18" i="3"/>
  <c r="Y18" i="3" s="1"/>
  <c r="X17" i="3"/>
  <c r="Y17" i="3" s="1"/>
  <c r="T5" i="3"/>
  <c r="X75" i="3"/>
  <c r="Y75" i="3" s="1"/>
  <c r="X66" i="3"/>
  <c r="X34" i="3"/>
  <c r="X78" i="3"/>
  <c r="Y78" i="3" s="1"/>
  <c r="X50" i="3"/>
  <c r="Y50" i="3" s="1"/>
  <c r="X38" i="3"/>
  <c r="Y38" i="3" s="1"/>
  <c r="X73" i="3"/>
  <c r="Y73" i="3" s="1"/>
  <c r="X15" i="3"/>
  <c r="Y15" i="3" s="1"/>
  <c r="X22" i="3"/>
  <c r="Y22" i="3" s="1"/>
  <c r="S3" i="3" s="1"/>
  <c r="X70" i="3"/>
  <c r="Y70" i="3" s="1"/>
  <c r="X41" i="3"/>
  <c r="I17" i="10" l="1"/>
  <c r="I18" i="10"/>
  <c r="L18" i="10"/>
  <c r="F25" i="10"/>
  <c r="F6" i="10"/>
  <c r="K19" i="10"/>
  <c r="K17" i="10"/>
  <c r="L19" i="10"/>
  <c r="L17" i="10"/>
  <c r="AA25" i="3"/>
  <c r="AB25" i="3" s="1"/>
  <c r="G36" i="12"/>
  <c r="I36" i="12"/>
  <c r="H34" i="12"/>
  <c r="AA29" i="3"/>
  <c r="AB29" i="3" s="1"/>
  <c r="S7" i="3"/>
  <c r="AA43" i="3"/>
  <c r="AB43" i="3" s="1"/>
  <c r="Y41" i="3"/>
  <c r="AA41" i="3" s="1"/>
  <c r="AB41" i="3" s="1"/>
  <c r="AA70" i="3"/>
  <c r="AB70" i="3" s="1"/>
  <c r="AA21" i="3"/>
  <c r="AB21" i="3" s="1"/>
  <c r="Y66" i="3"/>
  <c r="AA66" i="3" s="1"/>
  <c r="AB66" i="3" s="1"/>
  <c r="AA57" i="3"/>
  <c r="AB57" i="3" s="1"/>
  <c r="AA59" i="3"/>
  <c r="AB59" i="3" s="1"/>
  <c r="AA63" i="3"/>
  <c r="AB63" i="3" s="1"/>
  <c r="AA36" i="3"/>
  <c r="AB36" i="3" s="1"/>
  <c r="AA65" i="3"/>
  <c r="AB65" i="3" s="1"/>
  <c r="AA75" i="3"/>
  <c r="AB75" i="3" s="1"/>
  <c r="AA92" i="3"/>
  <c r="AB92" i="3" s="1"/>
  <c r="AA64" i="3"/>
  <c r="AB64" i="3" s="1"/>
  <c r="AA88" i="3"/>
  <c r="AB88" i="3" s="1"/>
  <c r="AA77" i="3"/>
  <c r="AB77" i="3" s="1"/>
  <c r="AA31" i="3"/>
  <c r="AB31" i="3" s="1"/>
  <c r="AA24" i="3"/>
  <c r="AB24" i="3" s="1"/>
  <c r="AA79" i="3"/>
  <c r="AB79" i="3" s="1"/>
  <c r="AA45" i="3"/>
  <c r="AB45" i="3" s="1"/>
  <c r="AA69" i="3"/>
  <c r="AB69" i="3" s="1"/>
  <c r="AA22" i="3"/>
  <c r="AB22" i="3" s="1"/>
  <c r="AA33" i="3"/>
  <c r="AB33" i="3" s="1"/>
  <c r="AA80" i="3"/>
  <c r="AB80" i="3" s="1"/>
  <c r="AA82" i="3"/>
  <c r="AB82" i="3" s="1"/>
  <c r="AA50" i="3"/>
  <c r="AB50" i="3" s="1"/>
  <c r="AA23" i="3"/>
  <c r="AB23" i="3" s="1"/>
  <c r="AA73" i="3"/>
  <c r="AB73" i="3" s="1"/>
  <c r="AA51" i="3"/>
  <c r="AB51" i="3" s="1"/>
  <c r="AA71" i="3"/>
  <c r="AB71" i="3" s="1"/>
  <c r="AA84" i="3"/>
  <c r="AB84" i="3" s="1"/>
  <c r="AA19" i="3"/>
  <c r="AB19" i="3" s="1"/>
  <c r="AA93" i="3"/>
  <c r="AB93" i="3" s="1"/>
  <c r="AA17" i="3"/>
  <c r="AB17" i="3" s="1"/>
  <c r="AA85" i="3"/>
  <c r="AB85" i="3" s="1"/>
  <c r="AA38" i="3"/>
  <c r="AB38" i="3" s="1"/>
  <c r="AA74" i="3"/>
  <c r="AB74" i="3" s="1"/>
  <c r="AA78" i="3"/>
  <c r="AB78" i="3" s="1"/>
  <c r="AA56" i="3"/>
  <c r="AB56" i="3" s="1"/>
  <c r="AA86" i="3"/>
  <c r="AB86" i="3" s="1"/>
  <c r="Y62" i="3"/>
  <c r="AA62" i="3" s="1"/>
  <c r="AB62" i="3" s="1"/>
  <c r="Y52" i="3"/>
  <c r="AA52" i="3" s="1"/>
  <c r="AB52" i="3" s="1"/>
  <c r="Y34" i="3"/>
  <c r="AA34" i="3" s="1"/>
  <c r="AB34" i="3" s="1"/>
  <c r="AA87" i="3"/>
  <c r="AB87" i="3" s="1"/>
  <c r="AA18" i="3"/>
  <c r="AB18" i="3" s="1"/>
  <c r="S4" i="3"/>
  <c r="AA15" i="3"/>
  <c r="AB15" i="3" s="1"/>
  <c r="J7" i="7"/>
  <c r="J4" i="7"/>
  <c r="J5" i="7"/>
  <c r="J6" i="7"/>
  <c r="J3" i="7"/>
  <c r="C4" i="7"/>
  <c r="C6" i="7"/>
  <c r="D5" i="7"/>
  <c r="C5" i="7"/>
  <c r="D4" i="7"/>
  <c r="D3" i="7"/>
  <c r="C3" i="7"/>
  <c r="F29" i="10" l="1"/>
  <c r="F10" i="10"/>
  <c r="F7" i="10"/>
  <c r="F26" i="10"/>
  <c r="S6" i="3"/>
  <c r="S5" i="3"/>
  <c r="K3" i="7"/>
  <c r="I13" i="7" s="1"/>
  <c r="J13" i="7" s="1"/>
  <c r="D6" i="7"/>
  <c r="F5" i="7" s="1"/>
  <c r="F9" i="10" l="1"/>
  <c r="F28" i="10"/>
  <c r="F8" i="10"/>
  <c r="F27" i="10"/>
  <c r="S8" i="3"/>
  <c r="F7" i="13" s="1"/>
  <c r="T6" i="3"/>
  <c r="K13" i="7"/>
  <c r="I11" i="7"/>
  <c r="I12" i="7"/>
  <c r="J11" i="7"/>
  <c r="K11" i="7" s="1"/>
  <c r="I24" i="7"/>
  <c r="I64" i="7"/>
  <c r="I40" i="7"/>
  <c r="I32" i="7"/>
  <c r="I72" i="7"/>
  <c r="I48" i="7"/>
  <c r="I16" i="7"/>
  <c r="I80" i="7"/>
  <c r="I56" i="7"/>
  <c r="I88" i="7"/>
  <c r="I82" i="7"/>
  <c r="I60" i="7"/>
  <c r="I31" i="7"/>
  <c r="I57" i="7"/>
  <c r="I51" i="7"/>
  <c r="I81" i="7"/>
  <c r="I54" i="7"/>
  <c r="I44" i="7"/>
  <c r="I83" i="7"/>
  <c r="I22" i="7"/>
  <c r="I14" i="7"/>
  <c r="I27" i="7"/>
  <c r="I36" i="7"/>
  <c r="I53" i="7"/>
  <c r="I17" i="7"/>
  <c r="I23" i="7"/>
  <c r="I28" i="7"/>
  <c r="I66" i="7"/>
  <c r="I75" i="7"/>
  <c r="I37" i="7"/>
  <c r="I46" i="7"/>
  <c r="I20" i="7"/>
  <c r="I69" i="7"/>
  <c r="I58" i="7"/>
  <c r="I19" i="7"/>
  <c r="I55" i="7"/>
  <c r="I47" i="7"/>
  <c r="I85" i="7"/>
  <c r="I84" i="7"/>
  <c r="I74" i="7"/>
  <c r="I10" i="7"/>
  <c r="J10" i="7" s="1"/>
  <c r="K10" i="7" s="1"/>
  <c r="I65" i="7"/>
  <c r="I45" i="7"/>
  <c r="I68" i="7"/>
  <c r="I35" i="7"/>
  <c r="I38" i="7"/>
  <c r="I71" i="7"/>
  <c r="I49" i="7"/>
  <c r="I61" i="7"/>
  <c r="I50" i="7"/>
  <c r="I86" i="7"/>
  <c r="I76" i="7"/>
  <c r="I34" i="7"/>
  <c r="I29" i="7"/>
  <c r="I78" i="7"/>
  <c r="I67" i="7"/>
  <c r="I18" i="7"/>
  <c r="I63" i="7"/>
  <c r="I42" i="7"/>
  <c r="I73" i="7"/>
  <c r="I52" i="7"/>
  <c r="I41" i="7"/>
  <c r="I59" i="7"/>
  <c r="I33" i="7"/>
  <c r="I21" i="7"/>
  <c r="I30" i="7"/>
  <c r="I39" i="7"/>
  <c r="I43" i="7"/>
  <c r="I87" i="7"/>
  <c r="I15" i="7"/>
  <c r="I79" i="7"/>
  <c r="I26" i="7"/>
  <c r="I70" i="7"/>
  <c r="I77" i="7"/>
  <c r="I25" i="7"/>
  <c r="I62" i="7"/>
  <c r="O7" i="3" l="1"/>
  <c r="O3" i="3"/>
  <c r="O4" i="3"/>
  <c r="O6" i="3"/>
  <c r="O5" i="3"/>
  <c r="J12" i="7"/>
  <c r="K12" i="7" s="1"/>
  <c r="J26" i="7"/>
  <c r="K26" i="7" s="1"/>
  <c r="J33" i="7"/>
  <c r="K33" i="7" s="1"/>
  <c r="J67" i="7"/>
  <c r="K67" i="7" s="1"/>
  <c r="J49" i="7"/>
  <c r="K49" i="7" s="1"/>
  <c r="J74" i="7"/>
  <c r="K74" i="7" s="1"/>
  <c r="J20" i="7"/>
  <c r="K20" i="7" s="1"/>
  <c r="J53" i="7"/>
  <c r="K53" i="7" s="1"/>
  <c r="J81" i="7"/>
  <c r="K81" i="7" s="1"/>
  <c r="J80" i="7"/>
  <c r="K80" i="7" s="1"/>
  <c r="J78" i="7"/>
  <c r="K78" i="7" s="1"/>
  <c r="J84" i="7"/>
  <c r="K84" i="7" s="1"/>
  <c r="J51" i="7"/>
  <c r="K51" i="7" s="1"/>
  <c r="J15" i="7"/>
  <c r="K15" i="7" s="1"/>
  <c r="J41" i="7"/>
  <c r="K41" i="7" s="1"/>
  <c r="J29" i="7"/>
  <c r="K29" i="7" s="1"/>
  <c r="J38" i="7"/>
  <c r="K38" i="7" s="1"/>
  <c r="J85" i="7"/>
  <c r="K85" i="7" s="1"/>
  <c r="J37" i="7"/>
  <c r="K37" i="7" s="1"/>
  <c r="J27" i="7"/>
  <c r="K27" i="7" s="1"/>
  <c r="J57" i="7"/>
  <c r="K57" i="7" s="1"/>
  <c r="J48" i="7"/>
  <c r="K48" i="7" s="1"/>
  <c r="J79" i="7"/>
  <c r="K79" i="7" s="1"/>
  <c r="J59" i="7"/>
  <c r="K59" i="7" s="1"/>
  <c r="J71" i="7"/>
  <c r="K71" i="7" s="1"/>
  <c r="J46" i="7"/>
  <c r="K46" i="7" s="1"/>
  <c r="J36" i="7"/>
  <c r="K36" i="7" s="1"/>
  <c r="J16" i="7"/>
  <c r="K16" i="7" s="1"/>
  <c r="J87" i="7"/>
  <c r="K87" i="7" s="1"/>
  <c r="J52" i="7"/>
  <c r="K52" i="7" s="1"/>
  <c r="J34" i="7"/>
  <c r="K34" i="7" s="1"/>
  <c r="J35" i="7"/>
  <c r="K35" i="7" s="1"/>
  <c r="J47" i="7"/>
  <c r="K47" i="7" s="1"/>
  <c r="J75" i="7"/>
  <c r="K75" i="7" s="1"/>
  <c r="J14" i="7"/>
  <c r="K14" i="7" s="1"/>
  <c r="J31" i="7"/>
  <c r="K31" i="7" s="1"/>
  <c r="J72" i="7"/>
  <c r="K72" i="7" s="1"/>
  <c r="J83" i="7"/>
  <c r="K83" i="7" s="1"/>
  <c r="J40" i="7"/>
  <c r="K40" i="7" s="1"/>
  <c r="J77" i="7"/>
  <c r="K77" i="7" s="1"/>
  <c r="J30" i="7"/>
  <c r="K30" i="7" s="1"/>
  <c r="J63" i="7"/>
  <c r="K63" i="7" s="1"/>
  <c r="J50" i="7"/>
  <c r="K50" i="7" s="1"/>
  <c r="J65" i="7"/>
  <c r="K65" i="7" s="1"/>
  <c r="J58" i="7"/>
  <c r="K58" i="7" s="1"/>
  <c r="J23" i="7"/>
  <c r="K23" i="7" s="1"/>
  <c r="J44" i="7"/>
  <c r="K44" i="7" s="1"/>
  <c r="J88" i="7"/>
  <c r="K88" i="7" s="1"/>
  <c r="J64" i="7"/>
  <c r="K64" i="7" s="1"/>
  <c r="J62" i="7"/>
  <c r="K62" i="7" s="1"/>
  <c r="J43" i="7"/>
  <c r="K43" i="7" s="1"/>
  <c r="J73" i="7"/>
  <c r="K73" i="7" s="1"/>
  <c r="J76" i="7"/>
  <c r="K76" i="7" s="1"/>
  <c r="J68" i="7"/>
  <c r="K68" i="7" s="1"/>
  <c r="J55" i="7"/>
  <c r="K55" i="7" s="1"/>
  <c r="J66" i="7"/>
  <c r="K66" i="7" s="1"/>
  <c r="J22" i="7"/>
  <c r="K22" i="7" s="1"/>
  <c r="J60" i="7"/>
  <c r="K60" i="7" s="1"/>
  <c r="J32" i="7"/>
  <c r="K32" i="7" s="1"/>
  <c r="J25" i="7"/>
  <c r="K25" i="7" s="1"/>
  <c r="J39" i="7"/>
  <c r="K39" i="7" s="1"/>
  <c r="J42" i="7"/>
  <c r="K42" i="7" s="1"/>
  <c r="J86" i="7"/>
  <c r="K86" i="7" s="1"/>
  <c r="J45" i="7"/>
  <c r="K45" i="7" s="1"/>
  <c r="J19" i="7"/>
  <c r="K19" i="7" s="1"/>
  <c r="J28" i="7"/>
  <c r="K28" i="7" s="1"/>
  <c r="J82" i="7"/>
  <c r="K82" i="7" s="1"/>
  <c r="J70" i="7"/>
  <c r="K70" i="7" s="1"/>
  <c r="J21" i="7"/>
  <c r="K21" i="7" s="1"/>
  <c r="J18" i="7"/>
  <c r="K18" i="7" s="1"/>
  <c r="J61" i="7"/>
  <c r="K61" i="7" s="1"/>
  <c r="J69" i="7"/>
  <c r="K69" i="7" s="1"/>
  <c r="J17" i="7"/>
  <c r="K17" i="7" s="1"/>
  <c r="J54" i="7"/>
  <c r="K54" i="7" s="1"/>
  <c r="J56" i="7"/>
  <c r="K56" i="7" s="1"/>
  <c r="J24" i="7"/>
  <c r="K24" i="7" s="1"/>
  <c r="E74" i="13" l="1"/>
  <c r="E3" i="7"/>
  <c r="E4" i="7"/>
  <c r="E6" i="7"/>
  <c r="E5" i="7"/>
  <c r="A7" i="13" l="1"/>
  <c r="F6" i="7"/>
  <c r="D4" i="3"/>
  <c r="E33" i="1" l="1"/>
  <c r="M26" i="3"/>
  <c r="N26" i="3" s="1"/>
  <c r="N40" i="3"/>
  <c r="N34" i="3"/>
  <c r="N56" i="3"/>
  <c r="N51" i="3"/>
  <c r="N91" i="3"/>
  <c r="M23" i="3"/>
  <c r="N23" i="3" s="1"/>
  <c r="N61" i="3"/>
  <c r="N63" i="3"/>
  <c r="N66" i="3"/>
  <c r="M34" i="3" l="1"/>
  <c r="M28" i="3"/>
  <c r="N28" i="3" s="1"/>
  <c r="M40" i="3"/>
  <c r="M91" i="3"/>
  <c r="M18" i="3"/>
  <c r="M61" i="3"/>
  <c r="M63" i="3"/>
  <c r="M66" i="3"/>
  <c r="M56" i="3"/>
  <c r="M51" i="3"/>
  <c r="N18" i="3" l="1"/>
  <c r="M25" i="3"/>
  <c r="N25" i="3" s="1"/>
  <c r="M60" i="3"/>
  <c r="N60" i="3"/>
  <c r="M55" i="3"/>
  <c r="N55" i="3"/>
  <c r="M84" i="3"/>
  <c r="N84" i="3"/>
  <c r="M30" i="3"/>
  <c r="N30" i="3" s="1"/>
  <c r="M24" i="3"/>
  <c r="N24" i="3" s="1"/>
  <c r="M52" i="3"/>
  <c r="N52" i="3"/>
  <c r="M37" i="3"/>
  <c r="N37" i="3"/>
  <c r="M64" i="3"/>
  <c r="N64" i="3"/>
  <c r="M19" i="3"/>
  <c r="M76" i="3"/>
  <c r="N76" i="3"/>
  <c r="M92" i="3"/>
  <c r="N92" i="3"/>
  <c r="M36" i="3"/>
  <c r="N36" i="3"/>
  <c r="M83" i="3"/>
  <c r="N83" i="3"/>
  <c r="M31" i="3"/>
  <c r="N31" i="3" s="1"/>
  <c r="M33" i="3"/>
  <c r="N33" i="3" s="1"/>
  <c r="M22" i="3"/>
  <c r="N22" i="3" s="1"/>
  <c r="M67" i="3"/>
  <c r="N67" i="3"/>
  <c r="M65" i="3"/>
  <c r="N65" i="3"/>
  <c r="M62" i="3"/>
  <c r="N62" i="3"/>
  <c r="M54" i="3"/>
  <c r="N54" i="3"/>
  <c r="M57" i="3"/>
  <c r="N57" i="3"/>
  <c r="M43" i="3"/>
  <c r="N43" i="3"/>
  <c r="M46" i="3"/>
  <c r="N46" i="3"/>
  <c r="M75" i="3"/>
  <c r="N75" i="3"/>
  <c r="M80" i="3"/>
  <c r="N80" i="3"/>
  <c r="M38" i="3"/>
  <c r="N38" i="3"/>
  <c r="M47" i="3"/>
  <c r="N47" i="3"/>
  <c r="M53" i="3"/>
  <c r="N53" i="3"/>
  <c r="M15" i="3"/>
  <c r="N15" i="3" s="1"/>
  <c r="M44" i="3"/>
  <c r="N44" i="3"/>
  <c r="M72" i="3"/>
  <c r="N72" i="3"/>
  <c r="M70" i="3"/>
  <c r="N70" i="3"/>
  <c r="M77" i="3"/>
  <c r="N77" i="3"/>
  <c r="M16" i="3"/>
  <c r="N16" i="3" s="1"/>
  <c r="M27" i="3"/>
  <c r="N27" i="3" s="1"/>
  <c r="M17" i="3"/>
  <c r="E6" i="3"/>
  <c r="D3" i="3"/>
  <c r="D5" i="3"/>
  <c r="C5" i="3"/>
  <c r="C4" i="3"/>
  <c r="E28" i="10" l="1"/>
  <c r="G28" i="10" s="1"/>
  <c r="E9" i="10"/>
  <c r="G9" i="10" s="1"/>
  <c r="C8" i="3"/>
  <c r="D8" i="3"/>
  <c r="N19" i="3"/>
  <c r="E7" i="3"/>
  <c r="N17" i="3"/>
  <c r="E5" i="3"/>
  <c r="M49" i="3"/>
  <c r="N49" i="3"/>
  <c r="M39" i="3"/>
  <c r="N39" i="3"/>
  <c r="M59" i="3"/>
  <c r="N59" i="3"/>
  <c r="M81" i="3"/>
  <c r="N81" i="3"/>
  <c r="M73" i="3"/>
  <c r="N73" i="3"/>
  <c r="M86" i="3"/>
  <c r="N86" i="3"/>
  <c r="M32" i="3"/>
  <c r="N32" i="3" s="1"/>
  <c r="M69" i="3"/>
  <c r="N69" i="3"/>
  <c r="M74" i="3"/>
  <c r="N74" i="3"/>
  <c r="M21" i="3"/>
  <c r="N21" i="3" s="1"/>
  <c r="M45" i="3"/>
  <c r="N45" i="3"/>
  <c r="M79" i="3"/>
  <c r="N79" i="3"/>
  <c r="M90" i="3"/>
  <c r="N90" i="3"/>
  <c r="E3" i="3"/>
  <c r="M85" i="3"/>
  <c r="N85" i="3"/>
  <c r="M20" i="3"/>
  <c r="N20" i="3" s="1"/>
  <c r="M87" i="3"/>
  <c r="N87" i="3"/>
  <c r="M58" i="3"/>
  <c r="N58" i="3"/>
  <c r="M68" i="3"/>
  <c r="N68" i="3"/>
  <c r="M50" i="3"/>
  <c r="N50" i="3"/>
  <c r="M93" i="3"/>
  <c r="N93" i="3"/>
  <c r="M42" i="3"/>
  <c r="N42" i="3"/>
  <c r="M41" i="3"/>
  <c r="N41" i="3"/>
  <c r="M89" i="3"/>
  <c r="N89" i="3"/>
  <c r="M71" i="3"/>
  <c r="N71" i="3"/>
  <c r="M82" i="3"/>
  <c r="N82" i="3"/>
  <c r="M88" i="3"/>
  <c r="N88" i="3"/>
  <c r="M48" i="3"/>
  <c r="N48" i="3"/>
  <c r="M78" i="3"/>
  <c r="N78" i="3"/>
  <c r="M29" i="3"/>
  <c r="N29" i="3" s="1"/>
  <c r="M35" i="3"/>
  <c r="N35" i="3"/>
  <c r="F5" i="3"/>
  <c r="E4" i="3"/>
  <c r="E10" i="10" l="1"/>
  <c r="G10" i="10" s="1"/>
  <c r="E29" i="10"/>
  <c r="G29" i="10" s="1"/>
  <c r="E7" i="10"/>
  <c r="G7" i="10" s="1"/>
  <c r="E26" i="10"/>
  <c r="G26" i="10" s="1"/>
  <c r="E27" i="10"/>
  <c r="G27" i="10" s="1"/>
  <c r="E8" i="10"/>
  <c r="G8" i="10" s="1"/>
  <c r="E6" i="10"/>
  <c r="E25" i="10"/>
  <c r="G25" i="10" s="1"/>
  <c r="E8" i="3"/>
  <c r="W8" i="3" s="1"/>
  <c r="F6" i="3"/>
  <c r="G6" i="10" l="1"/>
  <c r="A6" i="3"/>
  <c r="E7" i="13"/>
  <c r="A4" i="3"/>
  <c r="A7" i="3"/>
  <c r="A5" i="3"/>
  <c r="A3" i="3"/>
  <c r="E72" i="13" l="1"/>
  <c r="M9" i="13"/>
  <c r="D75" i="13"/>
  <c r="H8" i="13"/>
  <c r="L23" i="10"/>
  <c r="L24" i="10" s="1"/>
  <c r="I8" i="13"/>
  <c r="H41" i="12"/>
  <c r="D56" i="12" s="1"/>
  <c r="H7" i="13"/>
  <c r="D74" i="13"/>
  <c r="I7" i="13"/>
  <c r="E30" i="10" l="1"/>
  <c r="E38" i="10" s="1"/>
  <c r="E40" i="10" s="1"/>
  <c r="E11" i="10"/>
  <c r="E19" i="10" s="1"/>
  <c r="E21" i="10" s="1"/>
  <c r="D80" i="13"/>
  <c r="H9" i="13"/>
  <c r="G9" i="13"/>
  <c r="I9" i="13" s="1"/>
  <c r="K12" i="10"/>
  <c r="A8" i="13"/>
  <c r="L12" i="10"/>
  <c r="H46" i="12"/>
  <c r="J41" i="12"/>
  <c r="J46" i="12" s="1"/>
  <c r="F74" i="13"/>
  <c r="E75" i="13" l="1"/>
  <c r="F72" i="13"/>
  <c r="I41" i="12"/>
  <c r="I46" i="12" s="1"/>
  <c r="A9" i="13"/>
  <c r="E49" i="12" s="1"/>
  <c r="F49" i="12" s="1"/>
  <c r="C33" i="12"/>
  <c r="E47" i="12"/>
  <c r="F47" i="12" s="1"/>
  <c r="E43" i="1"/>
  <c r="F43" i="1" s="1"/>
  <c r="F11" i="10" l="1"/>
  <c r="G11" i="10" s="1"/>
  <c r="F30" i="10"/>
  <c r="G56" i="12"/>
  <c r="F56" i="12"/>
  <c r="E45" i="1"/>
  <c r="F45" i="1" s="1"/>
  <c r="D45" i="1" s="1"/>
  <c r="K41" i="12"/>
  <c r="K46" i="12" s="1"/>
  <c r="F75" i="13"/>
  <c r="C31" i="1" s="1"/>
  <c r="E80" i="13"/>
  <c r="F80" i="13" s="1"/>
  <c r="K24" i="10"/>
  <c r="F33" i="12"/>
  <c r="C36" i="12"/>
  <c r="F19" i="10"/>
  <c r="G19" i="10" s="1"/>
  <c r="D49" i="12"/>
  <c r="G45" i="1" l="1"/>
  <c r="G30" i="10"/>
  <c r="F38" i="10"/>
  <c r="E48" i="12"/>
  <c r="F48" i="12" s="1"/>
  <c r="D48" i="12" s="1"/>
  <c r="E44" i="1"/>
  <c r="F44" i="1" s="1"/>
  <c r="G44" i="1" s="1"/>
  <c r="E31" i="1"/>
  <c r="E34" i="1" s="1"/>
  <c r="F21" i="10"/>
  <c r="G21" i="10" s="1"/>
  <c r="H33" i="12"/>
  <c r="H36" i="12" s="1"/>
  <c r="H31" i="12" s="1"/>
  <c r="F36" i="12"/>
  <c r="F40" i="10" l="1"/>
  <c r="G40" i="10" s="1"/>
  <c r="G38" i="10"/>
  <c r="D44" i="1"/>
  <c r="E56" i="12"/>
  <c r="F31" i="12"/>
  <c r="C34" i="1"/>
</calcChain>
</file>

<file path=xl/sharedStrings.xml><?xml version="1.0" encoding="utf-8"?>
<sst xmlns="http://schemas.openxmlformats.org/spreadsheetml/2006/main" count="607" uniqueCount="422">
  <si>
    <t>Name of Business</t>
  </si>
  <si>
    <t>Name of contact person (in case of queries)</t>
  </si>
  <si>
    <t>Contact telephone number</t>
  </si>
  <si>
    <t>E-mail address</t>
  </si>
  <si>
    <t>Model of care you specialise in</t>
  </si>
  <si>
    <t>Older People</t>
  </si>
  <si>
    <t>Learning Disabled</t>
  </si>
  <si>
    <t>Young People</t>
  </si>
  <si>
    <t>Children</t>
  </si>
  <si>
    <t>Adults 18-65</t>
  </si>
  <si>
    <t>Day Care</t>
  </si>
  <si>
    <t>Extra Care/Supported Living</t>
  </si>
  <si>
    <t>People you deliver services to</t>
  </si>
  <si>
    <t>Highly Specialised Accommodation (e.g. nursing care)</t>
  </si>
  <si>
    <t>hourly</t>
  </si>
  <si>
    <t>daily</t>
  </si>
  <si>
    <t>weekly</t>
  </si>
  <si>
    <t>monthly</t>
  </si>
  <si>
    <t>yearly</t>
  </si>
  <si>
    <t>hour</t>
  </si>
  <si>
    <t>week</t>
  </si>
  <si>
    <t>year</t>
  </si>
  <si>
    <t>day</t>
  </si>
  <si>
    <t>month</t>
  </si>
  <si>
    <t>dementia</t>
  </si>
  <si>
    <t>palliative</t>
  </si>
  <si>
    <t>re-ablement</t>
  </si>
  <si>
    <t>nursing</t>
  </si>
  <si>
    <t>activities of daily living</t>
  </si>
  <si>
    <t>personal care</t>
  </si>
  <si>
    <t>Families</t>
  </si>
  <si>
    <t>How would you prefer to report the contact time with the people you deliver services to?</t>
  </si>
  <si>
    <t>Physical Disabilities</t>
  </si>
  <si>
    <t>Mental Health</t>
  </si>
  <si>
    <t>ASD &amp; Neurodivergent</t>
  </si>
  <si>
    <t>Role</t>
  </si>
  <si>
    <t>Rate</t>
  </si>
  <si>
    <t>Per</t>
  </si>
  <si>
    <t>business management</t>
  </si>
  <si>
    <t>care management</t>
  </si>
  <si>
    <t>face to face support</t>
  </si>
  <si>
    <t>Role type</t>
  </si>
  <si>
    <t>Staff rates of pay</t>
  </si>
  <si>
    <t># Staff in role</t>
  </si>
  <si>
    <t>Combined hrs per week</t>
  </si>
  <si>
    <t>Business management</t>
  </si>
  <si>
    <t>Face to face support</t>
  </si>
  <si>
    <t># of staff</t>
  </si>
  <si>
    <t>total hrs per week</t>
  </si>
  <si>
    <t>Annual leave acrual</t>
  </si>
  <si>
    <t>Days in year</t>
  </si>
  <si>
    <t>Bank Hol acrual @ rate 1</t>
  </si>
  <si>
    <t>Bank Hol acrual @ rate 2</t>
  </si>
  <si>
    <t>Hrly staff AL acrual</t>
  </si>
  <si>
    <r>
      <rPr>
        <b/>
        <sz val="10"/>
        <color theme="1"/>
        <rFont val="Calibri"/>
        <family val="2"/>
        <scheme val="minor"/>
      </rPr>
      <t>Hourly staff on costs calcualated as</t>
    </r>
    <r>
      <rPr>
        <sz val="10"/>
        <color theme="1"/>
        <rFont val="Calibri"/>
        <family val="2"/>
        <scheme val="minor"/>
      </rPr>
      <t xml:space="preserve">
 not including NI and Pension - enter these on the Business Running Cost tab</t>
    </r>
  </si>
  <si>
    <r>
      <rPr>
        <sz val="10"/>
        <color theme="1"/>
        <rFont val="Calibri"/>
        <family val="2"/>
        <scheme val="minor"/>
      </rPr>
      <t>Hrly Staf only</t>
    </r>
    <r>
      <rPr>
        <b/>
        <sz val="10"/>
        <color theme="1"/>
        <rFont val="Calibri"/>
        <family val="2"/>
        <scheme val="minor"/>
      </rPr>
      <t xml:space="preserve"> Bank Hol hrly rate 1</t>
    </r>
  </si>
  <si>
    <r>
      <rPr>
        <sz val="10"/>
        <color theme="1"/>
        <rFont val="Calibri"/>
        <family val="2"/>
        <scheme val="minor"/>
      </rPr>
      <t>Hrly Staf only</t>
    </r>
    <r>
      <rPr>
        <b/>
        <sz val="10"/>
        <color theme="1"/>
        <rFont val="Calibri"/>
        <family val="2"/>
        <scheme val="minor"/>
      </rPr>
      <t xml:space="preserve"> Bank Hol hrly rate 2</t>
    </r>
  </si>
  <si>
    <t>Cohort Wage (includes BH for hrly rate staff)</t>
  </si>
  <si>
    <t>background support for the individual</t>
  </si>
  <si>
    <t>Background support for the individual</t>
  </si>
  <si>
    <t>Care management</t>
  </si>
  <si>
    <t>Yearly staff wages</t>
  </si>
  <si>
    <t>Total Wage</t>
  </si>
  <si>
    <t>Employers Pension contribution</t>
  </si>
  <si>
    <t>B/F from Staffing Wages sheet: staff wage</t>
  </si>
  <si>
    <t>12 months</t>
  </si>
  <si>
    <t>Last</t>
  </si>
  <si>
    <t>User defined timescale:</t>
  </si>
  <si>
    <t>Start Date:</t>
  </si>
  <si>
    <t>End Date:</t>
  </si>
  <si>
    <t>User defined time period:</t>
  </si>
  <si>
    <t>Insurance</t>
  </si>
  <si>
    <t>Direct training expenses (net of subsidies)</t>
  </si>
  <si>
    <t>Uniforms</t>
  </si>
  <si>
    <t>Apprenticeship levy</t>
  </si>
  <si>
    <t>What is your travel payment per mile to staff?</t>
  </si>
  <si>
    <t>Care related travel payments total</t>
  </si>
  <si>
    <t>Direct care expense or business expense?</t>
  </si>
  <si>
    <t>User defined timescale</t>
  </si>
  <si>
    <r>
      <rPr>
        <b/>
        <sz val="10"/>
        <color theme="1"/>
        <rFont val="Calibri"/>
        <family val="2"/>
        <scheme val="minor"/>
      </rPr>
      <t xml:space="preserve">Notes to aid use:
</t>
    </r>
    <r>
      <rPr>
        <b/>
        <sz val="14"/>
        <color rgb="FFFF0000"/>
        <rFont val="Calibri"/>
        <family val="2"/>
        <scheme val="minor"/>
      </rPr>
      <t xml:space="preserve">This sheet should only be used is rates of pay, hours or staffing numbers change during the users defined timescale.
</t>
    </r>
    <r>
      <rPr>
        <b/>
        <sz val="10"/>
        <color theme="1"/>
        <rFont val="Calibri"/>
        <family val="2"/>
        <scheme val="minor"/>
      </rPr>
      <t>●Initial reported roles, rates of pay and hours have been caried through from the staffing wages sheet, only update if there has been a change during the user defined timescale identified on the business running tab.
●Hours and minutes should be enterd using a colon as a seperator (HH:MM)</t>
    </r>
    <r>
      <rPr>
        <sz val="10"/>
        <color theme="1"/>
        <rFont val="Calibri"/>
        <family val="2"/>
        <scheme val="minor"/>
      </rPr>
      <t xml:space="preserve">
●</t>
    </r>
    <r>
      <rPr>
        <b/>
        <sz val="10"/>
        <color theme="1"/>
        <rFont val="Calibri"/>
        <family val="2"/>
        <scheme val="minor"/>
      </rPr>
      <t xml:space="preserve"> Employers National Insurance and Pension contributions should be reported on the Business Running Costs tab</t>
    </r>
  </si>
  <si>
    <t>How would you like to calculate the cost of care for the individual?</t>
  </si>
  <si>
    <t>per:</t>
  </si>
  <si>
    <t>Home Care (Domiciliary)</t>
  </si>
  <si>
    <t>a Case Load (e.g. Advocacy)</t>
  </si>
  <si>
    <t>This page has been left blank so you are able to add notes if you wish</t>
  </si>
  <si>
    <t>Revised rate</t>
  </si>
  <si>
    <t>Revised Combined hrs per week</t>
  </si>
  <si>
    <t>Revised # Staff in role</t>
  </si>
  <si>
    <t>Role Type</t>
  </si>
  <si>
    <t>Last 12 months</t>
  </si>
  <si>
    <t>Total</t>
  </si>
  <si>
    <t>Year cost based on user defined  period</t>
  </si>
  <si>
    <t>Employers National Insurance contribution</t>
  </si>
  <si>
    <t>Recruitment</t>
  </si>
  <si>
    <t>yes</t>
  </si>
  <si>
    <t>no</t>
  </si>
  <si>
    <r>
      <rPr>
        <sz val="10"/>
        <color theme="1"/>
        <rFont val="Calibri"/>
        <family val="2"/>
        <scheme val="minor"/>
      </rPr>
      <t>Hrly Staff only</t>
    </r>
    <r>
      <rPr>
        <b/>
        <sz val="10"/>
        <color theme="1"/>
        <rFont val="Calibri"/>
        <family val="2"/>
        <scheme val="minor"/>
      </rPr>
      <t xml:space="preserve"> Bank Hol hrly rate 1</t>
    </r>
  </si>
  <si>
    <r>
      <rPr>
        <sz val="10"/>
        <color theme="1"/>
        <rFont val="Calibri"/>
        <family val="2"/>
        <scheme val="minor"/>
      </rPr>
      <t>Hrly Staff only</t>
    </r>
    <r>
      <rPr>
        <b/>
        <sz val="10"/>
        <color theme="1"/>
        <rFont val="Calibri"/>
        <family val="2"/>
        <scheme val="minor"/>
      </rPr>
      <t xml:space="preserve"> Bank Hol hrly rate 2</t>
    </r>
  </si>
  <si>
    <t>Hrly staff AL accrual</t>
  </si>
  <si>
    <r>
      <rPr>
        <sz val="10"/>
        <color theme="1"/>
        <rFont val="Calibri"/>
        <family val="2"/>
        <scheme val="minor"/>
      </rPr>
      <t>Hrly Staff only</t>
    </r>
    <r>
      <rPr>
        <b/>
        <sz val="10"/>
        <color theme="1"/>
        <rFont val="Calibri"/>
        <family val="2"/>
        <scheme val="minor"/>
      </rPr>
      <t xml:space="preserve"> Revised Bank Hol hrly rate 1</t>
    </r>
  </si>
  <si>
    <r>
      <rPr>
        <sz val="10"/>
        <color theme="1"/>
        <rFont val="Calibri"/>
        <family val="2"/>
        <scheme val="minor"/>
      </rPr>
      <t>Hrly Staff only</t>
    </r>
    <r>
      <rPr>
        <b/>
        <sz val="10"/>
        <color theme="1"/>
        <rFont val="Calibri"/>
        <family val="2"/>
        <scheme val="minor"/>
      </rPr>
      <t xml:space="preserve"> Revised Bank Hol hrly rate 2</t>
    </r>
  </si>
  <si>
    <r>
      <rPr>
        <b/>
        <sz val="10"/>
        <color theme="1"/>
        <rFont val="Calibri"/>
        <family val="2"/>
        <scheme val="minor"/>
      </rPr>
      <t>Hourly staff on costs calculated as</t>
    </r>
    <r>
      <rPr>
        <sz val="10"/>
        <color theme="1"/>
        <rFont val="Calibri"/>
        <family val="2"/>
        <scheme val="minor"/>
      </rPr>
      <t xml:space="preserve">
 not including NI and Pension - enter these on the Business Running Cost tab</t>
    </r>
  </si>
  <si>
    <t>Bank Hol accrual @ rate 1</t>
  </si>
  <si>
    <t>Bank Hol accrual @ rate 2</t>
  </si>
  <si>
    <t>Annual leave accrual</t>
  </si>
  <si>
    <t xml:space="preserve">The Regional Commissioning board was formed to deliver requirements, under the Social Services and Well-being (Wales) Act 2014, of Local Health Boards and local authorities, in relation to commissioned services.:
Under this act, there is a requirement for statutory partners to work together to understand the costs faced by markets delivering services. 
Providers and Commissioners took the decision to develop a series of tools that show the true cost of care in the region. A Working groups made up of Home Care representatives and Residential Care Representatives and Commissioners from the Vale of Glamorgan and Cardiff local authorities designed two separate tools. This tool is a combined version to enable other models of care to also understand the costs they face when delivering their services 
The Cost of Care Delivery calculator, which this form will populate works on the principle that variable activity costs depend upon how many packages of care a provider delivers, and non variable business costs will always need to be met, irrespective of activity.
</t>
  </si>
  <si>
    <t>What are the main care and support needs you specialise in?</t>
  </si>
  <si>
    <t>Start date</t>
  </si>
  <si>
    <t>End date</t>
  </si>
  <si>
    <t>Staff rates of pay for the last 12 months</t>
  </si>
  <si>
    <t>Repair</t>
  </si>
  <si>
    <t>Purchase</t>
  </si>
  <si>
    <t>Lease</t>
  </si>
  <si>
    <t xml:space="preserve">Capital Expenditure </t>
  </si>
  <si>
    <t>Capital Investment (e.g. extension to building)</t>
  </si>
  <si>
    <t>Capital Expenditure cost 1 (please change to cost heading)</t>
  </si>
  <si>
    <t>Capital Expenditure cost 2 (please change to cost heading)</t>
  </si>
  <si>
    <t>Capital Expenditure cost 3 (please change to cost heading)</t>
  </si>
  <si>
    <t>Capital Expenditure cost 4 (please change to cost heading)</t>
  </si>
  <si>
    <t>Cost of finance (interest on loans)</t>
  </si>
  <si>
    <t>Bank Charges</t>
  </si>
  <si>
    <t>Rent</t>
  </si>
  <si>
    <t>User defined timescale (if required):</t>
  </si>
  <si>
    <t>12 month projection based on updated costs</t>
  </si>
  <si>
    <t>Number of rooms C/F from "About your business"</t>
  </si>
  <si>
    <t>To build today, your business would require</t>
  </si>
  <si>
    <t>Capital cost of replacing this home:</t>
  </si>
  <si>
    <t>Costs per</t>
  </si>
  <si>
    <r>
      <rPr>
        <b/>
        <sz val="10"/>
        <color theme="1"/>
        <rFont val="Calibri"/>
        <family val="2"/>
        <scheme val="minor"/>
      </rPr>
      <t>Acres</t>
    </r>
    <r>
      <rPr>
        <sz val="10"/>
        <color theme="1"/>
        <rFont val="Calibri"/>
        <family val="2"/>
        <scheme val="minor"/>
      </rPr>
      <t xml:space="preserve"> of land to build a 50 bed home</t>
    </r>
  </si>
  <si>
    <r>
      <rPr>
        <b/>
        <sz val="10"/>
        <color theme="1"/>
        <rFont val="Calibri"/>
        <family val="2"/>
        <scheme val="minor"/>
      </rPr>
      <t>m</t>
    </r>
    <r>
      <rPr>
        <b/>
        <vertAlign val="superscript"/>
        <sz val="10"/>
        <color theme="1"/>
        <rFont val="Calibri"/>
        <family val="2"/>
        <scheme val="minor"/>
      </rPr>
      <t>2</t>
    </r>
    <r>
      <rPr>
        <sz val="10"/>
        <color theme="1"/>
        <rFont val="Calibri"/>
        <family val="2"/>
        <scheme val="minor"/>
      </rPr>
      <t xml:space="preserve"> build per bed, including common areas.</t>
    </r>
  </si>
  <si>
    <t>This sheet is where you enter the costs associated with business development and sustainability.</t>
  </si>
  <si>
    <t>Owner benefit cost 4 (please change to cost heading)</t>
  </si>
  <si>
    <t>Profit and/or benefits to owners*</t>
  </si>
  <si>
    <r>
      <rPr>
        <sz val="10"/>
        <color rgb="FF00B050"/>
        <rFont val="Calibri"/>
        <family val="2"/>
      </rPr>
      <t xml:space="preserve">●= cost has gone down
</t>
    </r>
    <r>
      <rPr>
        <sz val="10"/>
        <color theme="7" tint="-0.249977111117893"/>
        <rFont val="Calibri"/>
        <family val="2"/>
      </rPr>
      <t xml:space="preserve">●= cost has remained the same
</t>
    </r>
    <r>
      <rPr>
        <sz val="10"/>
        <color rgb="FFC00000"/>
        <rFont val="Calibri"/>
        <family val="2"/>
      </rPr>
      <t>●= cost has gone up</t>
    </r>
  </si>
  <si>
    <t>12 month projection based on any updated costs</t>
  </si>
  <si>
    <t>Food</t>
  </si>
  <si>
    <t>Medical suplies</t>
  </si>
  <si>
    <t>12 month projection based on any user defined time period</t>
  </si>
  <si>
    <t>PPE</t>
  </si>
  <si>
    <t>Further Costs:Variable depending on activity</t>
  </si>
  <si>
    <t>Does delivering care and suport to the individuls using your service have any aditional costs not already captured? This sections are for those costs which go up and down depending on how many clients you are suporting- any non variable costs should be enterd into the business running costs sheet.</t>
  </si>
  <si>
    <t>Further cost 4 (please change to cost heading)</t>
  </si>
  <si>
    <t>Further cost 5 (please change to cost heading)</t>
  </si>
  <si>
    <t>Further cost 6 (please change to cost heading)</t>
  </si>
  <si>
    <t>Further cost 7 (please change to cost heading)</t>
  </si>
  <si>
    <t>Further cost 8 (please change to cost heading)</t>
  </si>
  <si>
    <t>Further Costs: Activity dependent</t>
  </si>
  <si>
    <t>This is where we will capture any costs asociated with delivering a package of care, so are classed as variable. This is also where we can calculate a baseline based upon the data you have enterd into the calculator.</t>
  </si>
  <si>
    <t># FTE staff in role</t>
  </si>
  <si>
    <t>an. hrs per fte</t>
  </si>
  <si>
    <t>an. Wage Per FTE</t>
  </si>
  <si>
    <t>Vehicle Depreciation</t>
  </si>
  <si>
    <t>Travel cost 1 (please change to cost heading)</t>
  </si>
  <si>
    <t>Travel cost 2  (please change to cost heading)</t>
  </si>
  <si>
    <t>Travel cost 3  (please change to cost heading)</t>
  </si>
  <si>
    <t>Business fuel purchases</t>
  </si>
  <si>
    <t>Business sustainability costs</t>
  </si>
  <si>
    <t>How many days per week is your service open?</t>
  </si>
  <si>
    <t>hours</t>
  </si>
  <si>
    <t>days</t>
  </si>
  <si>
    <t>people =</t>
  </si>
  <si>
    <t>General resources for activities</t>
  </si>
  <si>
    <t>10-15mph (e.g. inner city)</t>
  </si>
  <si>
    <t>16 -20 mph (e.g. town)</t>
  </si>
  <si>
    <t>26 - 30mph(e.g. villages and country lanes)</t>
  </si>
  <si>
    <t>31-40mph (e.g. less populated areas)</t>
  </si>
  <si>
    <t>41-50mph (e.g. mainly main roads)</t>
  </si>
  <si>
    <t>51 + mph (e.g. mainly dual carageway)</t>
  </si>
  <si>
    <t>21- 25mph (e.g. in town main roads)</t>
  </si>
  <si>
    <t>Background Support (e.g. laundry)</t>
  </si>
  <si>
    <t>Direct Care and/or support</t>
  </si>
  <si>
    <t>This is where we can calculate a baseline cost to deliver a specific package of care based upon the data you have entered into the calculator.</t>
  </si>
  <si>
    <t>average hours of staff</t>
  </si>
  <si>
    <t>atributed hours of staff</t>
  </si>
  <si>
    <t>an hrs per fte</t>
  </si>
  <si>
    <t>an wg per fte</t>
  </si>
  <si>
    <t>total wage2</t>
  </si>
  <si>
    <t>Address of business</t>
  </si>
  <si>
    <t>Care assistants without QCF</t>
  </si>
  <si>
    <t>Agency Staff</t>
  </si>
  <si>
    <t>Have popped all expenses into the business running costs sheet, but if you wish to move things from there to here you can. Doesn’t actually matter where you input the cost for a residential based service. Once the calculator moves online this area will probably be greyed out for res &amp; extra care.</t>
  </si>
  <si>
    <t>benchmark rooms =</t>
  </si>
  <si>
    <t>divide by to get time unit</t>
  </si>
  <si>
    <t>Annual staff wages</t>
  </si>
  <si>
    <t>Business sustainability cost 1 (please change to cost heading)</t>
  </si>
  <si>
    <t>Business sustainability cost 2 (please change to cost heading)</t>
  </si>
  <si>
    <t>Business sustainability cost 3 (please change to cost heading)</t>
  </si>
  <si>
    <t>Business sustainability cost 4 (please change to cost heading)</t>
  </si>
  <si>
    <t>agency</t>
  </si>
  <si>
    <t>Agency</t>
  </si>
  <si>
    <t>Totals</t>
  </si>
  <si>
    <t>Cohort wage (includes BH for hrly staff)</t>
  </si>
  <si>
    <t>Difference =</t>
  </si>
  <si>
    <t>accrued wage per hr</t>
  </si>
  <si>
    <t>weeks in year</t>
  </si>
  <si>
    <t>Totals:</t>
  </si>
  <si>
    <t>Employee on cost 2 (please change to cost heading)</t>
  </si>
  <si>
    <t>Employee on cost 3 (please change to cost heading)</t>
  </si>
  <si>
    <t>Gas</t>
  </si>
  <si>
    <t>Water</t>
  </si>
  <si>
    <t>Difference</t>
  </si>
  <si>
    <t>Staffing on costs</t>
  </si>
  <si>
    <t>Staff wages</t>
  </si>
  <si>
    <t>Increase in employing staff:</t>
  </si>
  <si>
    <t>Increase in utilities:</t>
  </si>
  <si>
    <t>Increase in exceptional cost areas:</t>
  </si>
  <si>
    <t>To change staffing wage costs, return to the staff wage sheet, input a start date, then update with any changes</t>
  </si>
  <si>
    <t>%</t>
  </si>
  <si>
    <t>date</t>
  </si>
  <si>
    <t>Electricity*</t>
  </si>
  <si>
    <t>Insurance*</t>
  </si>
  <si>
    <t>% increase</t>
  </si>
  <si>
    <t>Future increases in utilities or insurance, where this is known</t>
  </si>
  <si>
    <t>Last Financial Year:</t>
  </si>
  <si>
    <t>% increase since last financial year</t>
  </si>
  <si>
    <t>In year projection:</t>
  </si>
  <si>
    <t>Total of reported expenses including wages*</t>
  </si>
  <si>
    <t>Electricity</t>
  </si>
  <si>
    <t>% change</t>
  </si>
  <si>
    <t>Week day rate</t>
  </si>
  <si>
    <t>Weekend rate</t>
  </si>
  <si>
    <t>Government energy relief scheme contribution (in pence)</t>
  </si>
  <si>
    <t>User defined time period cost at revised rate (only use if cost has increased already)</t>
  </si>
  <si>
    <t>Current rate (in pounds)</t>
  </si>
  <si>
    <t>Future rate (in pounds)</t>
  </si>
  <si>
    <t>date from</t>
  </si>
  <si>
    <t>Future known cost increase</t>
  </si>
  <si>
    <t>What you will pay per KwH after energy relief scheme (in pence)</t>
  </si>
  <si>
    <t>https://www.gov.uk/government/publications/energy-bill-relief-scheme-discounts-for-fixed-default-and-variable-contracts</t>
  </si>
  <si>
    <t>Insurance % increase calculator</t>
  </si>
  <si>
    <t>Units (KwH) used</t>
  </si>
  <si>
    <t>For % change enter previous rate per unit (in pence)</t>
  </si>
  <si>
    <t>Space for creating your own calculators</t>
  </si>
  <si>
    <r>
      <t xml:space="preserve">Government discount ceiling for </t>
    </r>
    <r>
      <rPr>
        <b/>
        <sz val="11"/>
        <color theme="1"/>
        <rFont val="Calibri"/>
        <family val="2"/>
        <scheme val="minor"/>
      </rPr>
      <t>ga</t>
    </r>
    <r>
      <rPr>
        <sz val="11"/>
        <color theme="1"/>
        <rFont val="Calibri"/>
        <family val="2"/>
        <scheme val="minor"/>
      </rPr>
      <t>s (in pence)=</t>
    </r>
  </si>
  <si>
    <r>
      <t xml:space="preserve">Government baseline wholesale price for </t>
    </r>
    <r>
      <rPr>
        <b/>
        <sz val="11"/>
        <color theme="1"/>
        <rFont val="Calibri"/>
        <family val="2"/>
        <scheme val="minor"/>
      </rPr>
      <t>electricity</t>
    </r>
    <r>
      <rPr>
        <sz val="11"/>
        <color theme="1"/>
        <rFont val="Calibri"/>
        <family val="2"/>
        <scheme val="minor"/>
      </rPr>
      <t xml:space="preserve"> at fixed contract date (in pence) * =</t>
    </r>
  </si>
  <si>
    <t>BH rate 1</t>
  </si>
  <si>
    <t>BH rate 2</t>
  </si>
  <si>
    <t>BH rate 3</t>
  </si>
  <si>
    <t>BH rate 4</t>
  </si>
  <si>
    <t>BH rate to input into both BH rate cells on Staffing Wages sheet</t>
  </si>
  <si>
    <t>Number of bank holidays paid at this rate:</t>
  </si>
  <si>
    <t>BH rate 5</t>
  </si>
  <si>
    <t>Hourly rate to enter on staffing wages tab</t>
  </si>
  <si>
    <t xml:space="preserve">This sheet has a number of calculators that may help you run some calculations on your data to ensure you present the true cost increases you are facing. Data you input on this page is not carried through to any of the other pages. </t>
  </si>
  <si>
    <r>
      <rPr>
        <sz val="12"/>
        <color theme="1"/>
        <rFont val="Calibri"/>
        <family val="2"/>
        <scheme val="minor"/>
      </rPr>
      <t>(rough)</t>
    </r>
    <r>
      <rPr>
        <b/>
        <sz val="18"/>
        <color theme="1"/>
        <rFont val="Calibri"/>
        <family val="2"/>
        <scheme val="minor"/>
      </rPr>
      <t xml:space="preserve">Utility  % increase calculator for fixed rate contracts. </t>
    </r>
    <r>
      <rPr>
        <sz val="12"/>
        <color theme="1"/>
        <rFont val="Calibri"/>
        <family val="2"/>
        <scheme val="minor"/>
      </rPr>
      <t>The calculator can also be used for variable rate and other contracts, but you will need to update the units used and current rate daily, then sum the calculated costs across the time period of interest.</t>
    </r>
  </si>
  <si>
    <r>
      <t xml:space="preserve">Government baseline wholesale price for </t>
    </r>
    <r>
      <rPr>
        <b/>
        <sz val="11"/>
        <color theme="1"/>
        <rFont val="Calibri"/>
        <family val="2"/>
        <scheme val="minor"/>
      </rPr>
      <t>gas</t>
    </r>
    <r>
      <rPr>
        <sz val="11"/>
        <color theme="1"/>
        <rFont val="Calibri"/>
        <family val="2"/>
        <scheme val="minor"/>
      </rPr>
      <t xml:space="preserve"> at  fixed contract date (in pence)* =</t>
    </r>
  </si>
  <si>
    <r>
      <t xml:space="preserve">Government discount ceiling for </t>
    </r>
    <r>
      <rPr>
        <b/>
        <sz val="11"/>
        <color theme="1"/>
        <rFont val="Calibri"/>
        <family val="2"/>
        <scheme val="minor"/>
      </rPr>
      <t>electricity</t>
    </r>
    <r>
      <rPr>
        <sz val="11"/>
        <color theme="1"/>
        <rFont val="Calibri"/>
        <family val="2"/>
        <scheme val="minor"/>
      </rPr>
      <t xml:space="preserve"> (in pence)=</t>
    </r>
  </si>
  <si>
    <t>Enter current (or quoted) rate per unit (in pence)</t>
  </si>
  <si>
    <t>Cost at quoted rate with Government relief scheme discount</t>
  </si>
  <si>
    <t>* From October 1 2022, the government will discount the wholesale price that suppliers pay for energy for six months, at no more than 21.1p per kWh of electricity and 7.5p per kWh of gas. This is known as the government baseline wholesale price. A review is planned at the end of December. To check if this Government supported price is still current, please check the data available on this web page: update the government relief scheme limits above if these have changed.</t>
  </si>
  <si>
    <r>
      <rPr>
        <b/>
        <sz val="18"/>
        <color theme="1"/>
        <rFont val="Calibri"/>
        <family val="2"/>
        <scheme val="minor"/>
      </rPr>
      <t>Weekend hourly rate calculator:</t>
    </r>
    <r>
      <rPr>
        <sz val="18"/>
        <color theme="1"/>
        <rFont val="Calibri"/>
        <family val="2"/>
        <scheme val="minor"/>
      </rPr>
      <t xml:space="preserve"> </t>
    </r>
    <r>
      <rPr>
        <sz val="11"/>
        <color theme="1"/>
        <rFont val="Calibri"/>
        <family val="2"/>
        <scheme val="minor"/>
      </rPr>
      <t>Some homes pay a different weekend rate, so may wish that the wage rate input on the staffing wages sheet reflects this.</t>
    </r>
  </si>
  <si>
    <r>
      <rPr>
        <b/>
        <sz val="18"/>
        <color theme="1"/>
        <rFont val="Calibri"/>
        <family val="2"/>
        <scheme val="minor"/>
      </rPr>
      <t>More than two Bank Holiday rate calculator:</t>
    </r>
    <r>
      <rPr>
        <sz val="11"/>
        <color theme="1"/>
        <rFont val="Calibri"/>
        <family val="2"/>
        <scheme val="minor"/>
      </rPr>
      <t xml:space="preserve"> Some homes pay different bank holiday rates depending on the time of year. The staff sheet allows two rates to be input, but if more than two rates are used you may wish to update the BH rates to reflect this.</t>
    </r>
  </si>
  <si>
    <t>Vehicle Maintenance and Servicing</t>
  </si>
  <si>
    <t>Whole service: Over year projection</t>
  </si>
  <si>
    <t>Whole service: Year projection</t>
  </si>
  <si>
    <t>Activity benchmark:</t>
  </si>
  <si>
    <t>*Please note: a limited data set has been captured for this exercise, so these figures are not a true reflection of the full cost of service delivery</t>
  </si>
  <si>
    <t>Owner benefit cost 1 (please change to cost heading)</t>
  </si>
  <si>
    <t>Owner benefit cost 2 (please change to cost heading)</t>
  </si>
  <si>
    <t>Owner benefit cost 3 (please change to cost heading)</t>
  </si>
  <si>
    <t>*By owners we mean those with overall responsible for the business. This could be an individual, a partnership, a not for profit board of unpaid volunteer trustees, a management organisation or a similar entity.</t>
  </si>
  <si>
    <t>Recognising that some owners* do not take a wage, to gain a reflection of true cost we would like to understand the value of benefits received in these cases. What is the annual value of any additional/ in lieu of payment benefits the owners receive? (e.g. car/ partnership dividend/volunteer expenses)</t>
  </si>
  <si>
    <t>These figures need to be updated to the published discount rate at contract begin (for fixed rate contracts)</t>
  </si>
  <si>
    <t>https://www.gov.uk/guidance/energy-bill-relief-scheme-help-for-businesses-and-other-non-domestic-customers</t>
  </si>
  <si>
    <t xml:space="preserve">A full explination can be found here: </t>
  </si>
  <si>
    <t>For variable, deemed and all other contracts, the discount will reflect the difference between the government supported price and relevant wholesale price on a weekly bases, but be subject to a ‘maximum discount’:
electricity - £345 per MWh (34.5p per KwH)
gas - £91 per MWh (9.1p per KwH)</t>
  </si>
  <si>
    <t>T&amp;F group agreed data set</t>
  </si>
  <si>
    <t>T&amp;F group data set increase per person per week @ 90% activity once all known cost increases impact</t>
  </si>
  <si>
    <t>Specialty</t>
  </si>
  <si>
    <t>Insurance increase</t>
  </si>
  <si>
    <r>
      <t>Electricity increase</t>
    </r>
    <r>
      <rPr>
        <vertAlign val="superscript"/>
        <sz val="10"/>
        <color theme="1"/>
        <rFont val="Calibri"/>
        <family val="2"/>
        <scheme val="minor"/>
      </rPr>
      <t>#</t>
    </r>
  </si>
  <si>
    <t>Previous year cost per bed, per week @90% activity*</t>
  </si>
  <si>
    <t>In year cost increase per bed, per week @ 90% activity*</t>
  </si>
  <si>
    <t>Staffing cost increases</t>
  </si>
  <si>
    <t>last year scary costs</t>
  </si>
  <si>
    <t>in year scary costs</t>
  </si>
  <si>
    <t>Unique identifier</t>
  </si>
  <si>
    <t>As a service with accommodation, what is the maximum number of people you can accommodate?</t>
  </si>
  <si>
    <t>occupied rooms</t>
  </si>
  <si>
    <t>Additional reported exceptional costs</t>
  </si>
  <si>
    <t>% of beds with this specialty within those submitting a data set</t>
  </si>
  <si>
    <r>
      <rPr>
        <b/>
        <vertAlign val="superscript"/>
        <sz val="10"/>
        <color theme="1"/>
        <rFont val="Calibri"/>
        <family val="2"/>
        <scheme val="minor"/>
      </rPr>
      <t>#</t>
    </r>
    <r>
      <rPr>
        <sz val="10"/>
        <color theme="1"/>
        <rFont val="Calibri"/>
        <family val="2"/>
        <scheme val="minor"/>
      </rPr>
      <t xml:space="preserve"> Utility increases have had Government Energy Relief scheme for businesses allowance subtracted for the purposes of this in year cost increase report. Discounts will be applied to energy usage initially between 1 October 2022 and 31 March 2023, so these costs are likely to be greater than reported  during next financial year.</t>
    </r>
  </si>
  <si>
    <t>Per (Year /Hr)</t>
  </si>
  <si>
    <t>last yr.</t>
  </si>
  <si>
    <t xml:space="preserve"> future</t>
  </si>
  <si>
    <t>data set staffing</t>
  </si>
  <si>
    <t>data set insurance</t>
  </si>
  <si>
    <t>data set food</t>
  </si>
  <si>
    <t>other (non data set)</t>
  </si>
  <si>
    <t>total</t>
  </si>
  <si>
    <r>
      <t>Cost per bed per week, including in year increases + increases impacting over the next 12 months*</t>
    </r>
    <r>
      <rPr>
        <b/>
        <vertAlign val="superscript"/>
        <sz val="10"/>
        <color theme="1"/>
        <rFont val="Calibri"/>
        <family val="2"/>
        <scheme val="minor"/>
      </rPr>
      <t>#</t>
    </r>
  </si>
  <si>
    <t>last yr. cost per bed per wk.</t>
  </si>
  <si>
    <t>future cost per bed per wk.</t>
  </si>
  <si>
    <t>data set utilities</t>
  </si>
  <si>
    <t>For information- the following data has been calculated from your submission and is going to be presented to strategic leads for the UHB, Cardiff Council and Vale of Glamorgan Council as part of a risk escalation report regarding the in year cost increases that the sector is facing. There is the possibility that this report will be escalated to other organisations to highlight the issue by the statutory organisation strategic leads (e.g. Welsh Government). If you wish for the below information to have limitations on it's distribution please let Alison Law (IHSC@wales.nhs.uk) know.</t>
  </si>
  <si>
    <t>Manual input</t>
  </si>
  <si>
    <t>Food increase</t>
  </si>
  <si>
    <r>
      <t>Gas (and/or oil) increase</t>
    </r>
    <r>
      <rPr>
        <vertAlign val="superscript"/>
        <sz val="10"/>
        <color theme="1"/>
        <rFont val="Calibri"/>
        <family val="2"/>
        <scheme val="minor"/>
      </rPr>
      <t>#</t>
    </r>
  </si>
  <si>
    <t>Data set #</t>
  </si>
  <si>
    <t>rooms (not to cf into report, but will be used to calculate % beds of specialty)</t>
  </si>
  <si>
    <t>How would you prefer to report on the contact time you have with the people you deliver services to?</t>
  </si>
  <si>
    <r>
      <rPr>
        <b/>
        <sz val="10"/>
        <color rgb="FFFF0000"/>
        <rFont val="Calibri"/>
        <family val="2"/>
        <scheme val="minor"/>
      </rPr>
      <t>If staff wages, or hours have changed during the 12 month period</t>
    </r>
    <r>
      <rPr>
        <sz val="10"/>
        <color theme="1"/>
        <rFont val="Calibri"/>
        <family val="2"/>
        <scheme val="minor"/>
      </rPr>
      <t>, and you wish to show the impact of these changes upon your costs, let us know when the change began below. Additional columns will appear to allow you to report the changes</t>
    </r>
  </si>
  <si>
    <r>
      <rPr>
        <b/>
        <sz val="10"/>
        <color theme="1"/>
        <rFont val="Calibri"/>
        <family val="2"/>
        <scheme val="minor"/>
      </rPr>
      <t>Notes to aid use:
●Hours and minutes should be entered using a colon as a separator (HH:MM)</t>
    </r>
    <r>
      <rPr>
        <sz val="10"/>
        <color theme="1"/>
        <rFont val="Calibri"/>
        <family val="2"/>
        <scheme val="minor"/>
      </rPr>
      <t xml:space="preserve">
</t>
    </r>
    <r>
      <rPr>
        <sz val="10"/>
        <color theme="1"/>
        <rFont val="Calibri"/>
        <family val="2"/>
      </rPr>
      <t>●</t>
    </r>
    <r>
      <rPr>
        <sz val="10"/>
        <color theme="1"/>
        <rFont val="Calibri"/>
        <family val="2"/>
        <scheme val="minor"/>
      </rPr>
      <t xml:space="preserve">If your service </t>
    </r>
    <r>
      <rPr>
        <sz val="10"/>
        <color rgb="FFFF0000"/>
        <rFont val="Calibri"/>
        <family val="2"/>
        <scheme val="minor"/>
      </rPr>
      <t xml:space="preserve">pays a </t>
    </r>
    <r>
      <rPr>
        <b/>
        <sz val="10"/>
        <color rgb="FFFF0000"/>
        <rFont val="Calibri"/>
        <family val="2"/>
        <scheme val="minor"/>
      </rPr>
      <t>night rate and a day rate</t>
    </r>
    <r>
      <rPr>
        <sz val="10"/>
        <color rgb="FFFF0000"/>
        <rFont val="Calibri"/>
        <family val="2"/>
        <scheme val="minor"/>
      </rPr>
      <t>, enter two separate staff cohorts,</t>
    </r>
    <r>
      <rPr>
        <sz val="10"/>
        <color theme="1"/>
        <rFont val="Calibri"/>
        <family val="2"/>
        <scheme val="minor"/>
      </rPr>
      <t xml:space="preserve"> e.g. Carer (nights) and Carer (days) then input the hours paid per week for each rate
●If a staff member</t>
    </r>
    <r>
      <rPr>
        <b/>
        <sz val="10"/>
        <color theme="1"/>
        <rFont val="Calibri"/>
        <family val="2"/>
        <scheme val="minor"/>
      </rPr>
      <t xml:space="preserve"> does not work on bank holidays</t>
    </r>
    <r>
      <rPr>
        <sz val="10"/>
        <color theme="1"/>
        <rFont val="Calibri"/>
        <family val="2"/>
        <scheme val="minor"/>
      </rPr>
      <t xml:space="preserve">, OR </t>
    </r>
    <r>
      <rPr>
        <b/>
        <sz val="10"/>
        <color theme="1"/>
        <rFont val="Calibri"/>
        <family val="2"/>
        <scheme val="minor"/>
      </rPr>
      <t>there is no difference in pay between standard and bank holiday</t>
    </r>
    <r>
      <rPr>
        <sz val="10"/>
        <color theme="1"/>
        <rFont val="Calibri"/>
        <family val="2"/>
        <scheme val="minor"/>
      </rPr>
      <t xml:space="preserve">, enter basic rate in BH 1 and BH 2. If there is only one BH rate, enter this into both BH cells. </t>
    </r>
    <r>
      <rPr>
        <sz val="10"/>
        <color rgb="FFFF0000"/>
        <rFont val="Calibri"/>
        <family val="2"/>
        <scheme val="minor"/>
      </rPr>
      <t xml:space="preserve">Use the calculator sheet to support input of data </t>
    </r>
    <r>
      <rPr>
        <b/>
        <sz val="10"/>
        <color rgb="FFFF0000"/>
        <rFont val="Calibri"/>
        <family val="2"/>
        <scheme val="minor"/>
      </rPr>
      <t xml:space="preserve">if you pay more than 2 bank holiday rates </t>
    </r>
    <r>
      <rPr>
        <sz val="10"/>
        <color rgb="FFFF0000"/>
        <rFont val="Calibri"/>
        <family val="2"/>
        <scheme val="minor"/>
      </rPr>
      <t>or</t>
    </r>
    <r>
      <rPr>
        <b/>
        <sz val="10"/>
        <color rgb="FFFF0000"/>
        <rFont val="Calibri"/>
        <family val="2"/>
        <scheme val="minor"/>
      </rPr>
      <t xml:space="preserve"> pay a different rate at weekends</t>
    </r>
    <r>
      <rPr>
        <sz val="10"/>
        <color rgb="FFFF0000"/>
        <rFont val="Calibri"/>
        <family val="2"/>
        <scheme val="minor"/>
      </rPr>
      <t>.</t>
    </r>
    <r>
      <rPr>
        <sz val="10"/>
        <color theme="1"/>
        <rFont val="Calibri"/>
        <family val="2"/>
        <scheme val="minor"/>
      </rPr>
      <t xml:space="preserve">
●</t>
    </r>
    <r>
      <rPr>
        <b/>
        <sz val="10"/>
        <color theme="1"/>
        <rFont val="Calibri"/>
        <family val="2"/>
        <scheme val="minor"/>
      </rPr>
      <t>Super numerate staff</t>
    </r>
    <r>
      <rPr>
        <sz val="10"/>
        <color theme="1"/>
        <rFont val="Calibri"/>
        <family val="2"/>
        <scheme val="minor"/>
      </rPr>
      <t xml:space="preserve"> (those you are paying but are not delivering care, for example  on paternity or study leave) should be entered and their reason for inclusion identified in the Role column e.g. Carer: under investigation
●</t>
    </r>
    <r>
      <rPr>
        <b/>
        <sz val="10"/>
        <color theme="1"/>
        <rFont val="Calibri"/>
        <family val="2"/>
        <scheme val="minor"/>
      </rPr>
      <t>Agency staff</t>
    </r>
    <r>
      <rPr>
        <sz val="10"/>
        <color theme="1"/>
        <rFont val="Calibri"/>
        <family val="2"/>
        <scheme val="minor"/>
      </rPr>
      <t xml:space="preserve"> should be included on this tab, e.g. Role: Agency Nurse  - the rate is the rate you pay the agency per hour, and the combined hours per week should be an average over the past 3 months.
●</t>
    </r>
    <r>
      <rPr>
        <b/>
        <sz val="10"/>
        <color theme="1"/>
        <rFont val="Calibri"/>
        <family val="2"/>
        <scheme val="minor"/>
      </rPr>
      <t xml:space="preserve"> Employers National Insurance and Pension contributions should be reported on the Business Running Costs tab</t>
    </r>
  </si>
  <si>
    <t>Staffing costs</t>
  </si>
  <si>
    <t>Year cost to reflect user defined  period</t>
  </si>
  <si>
    <t>Gas*</t>
  </si>
  <si>
    <t>Medical supplies</t>
  </si>
  <si>
    <t>business</t>
  </si>
  <si>
    <t>direct care</t>
  </si>
  <si>
    <t>Telephony</t>
  </si>
  <si>
    <t>Internet</t>
  </si>
  <si>
    <t>Television</t>
  </si>
  <si>
    <t>Council Tax</t>
  </si>
  <si>
    <t>Cleaning supplies</t>
  </si>
  <si>
    <t>Trade (including clinical) waste</t>
  </si>
  <si>
    <t>*Please note: a limited data set has been captured for this bell weather exercise, so these figures are not a true reflection of the full cost of service delivery: please refer to the PackageCostCalculator tab for analysis of the full data set.</t>
  </si>
  <si>
    <t>Bell Weather Cost Increase, in year</t>
  </si>
  <si>
    <t>Total of reported bell weather expenses including wages*</t>
  </si>
  <si>
    <t>Activity specific costs</t>
  </si>
  <si>
    <t>Utility costs</t>
  </si>
  <si>
    <t>Travel costs</t>
  </si>
  <si>
    <t>Now fill in/ update the development and sustainability tab</t>
  </si>
  <si>
    <t xml:space="preserve">Now fill in / update the staffing wages tab. </t>
  </si>
  <si>
    <t>Once complete, fill in/update "Business Running Costs" tab</t>
  </si>
  <si>
    <r>
      <t xml:space="preserve">Additional in year cost increase: per bed, per week  </t>
    </r>
    <r>
      <rPr>
        <sz val="10"/>
        <color theme="1"/>
        <rFont val="Calibri"/>
        <family val="2"/>
        <scheme val="minor"/>
      </rPr>
      <t>(not included in agreed bellweather data set calculations*)</t>
    </r>
  </si>
  <si>
    <t>*Agreed bellweather data set</t>
  </si>
  <si>
    <r>
      <t xml:space="preserve">* </t>
    </r>
    <r>
      <rPr>
        <b/>
        <sz val="10"/>
        <color theme="1"/>
        <rFont val="Calibri"/>
        <family val="2"/>
        <scheme val="minor"/>
      </rPr>
      <t>Agreed bellweather data set</t>
    </r>
    <r>
      <rPr>
        <sz val="10"/>
        <color theme="1"/>
        <rFont val="Calibri"/>
        <family val="2"/>
        <scheme val="minor"/>
      </rPr>
      <t xml:space="preserve">: This data set reflects specific costs associated with employing staff, gas (and/or oil) and electricity, food and insurance. It does not include all of the costs faced by the provider when delivering a care package. Where the provider has taken the opportunity to report other costs, these are represented in cell L56. </t>
    </r>
    <r>
      <rPr>
        <b/>
        <sz val="10"/>
        <color theme="1"/>
        <rFont val="Calibri"/>
        <family val="2"/>
        <scheme val="minor"/>
      </rPr>
      <t>This data set must not be used in isolation when considering uplifts, but can be used to identify if potential inflation risks are impacting on the sector .</t>
    </r>
  </si>
  <si>
    <t>NA</t>
  </si>
  <si>
    <t>Benefits to owners*</t>
  </si>
  <si>
    <t>acre TBC*</t>
  </si>
  <si>
    <r>
      <t>m</t>
    </r>
    <r>
      <rPr>
        <vertAlign val="superscript"/>
        <sz val="10"/>
        <color theme="1"/>
        <rFont val="Calibri"/>
        <family val="2"/>
        <scheme val="minor"/>
      </rPr>
      <t>2</t>
    </r>
    <r>
      <rPr>
        <sz val="10"/>
        <color theme="1"/>
        <rFont val="Calibri"/>
        <family val="2"/>
        <scheme val="minor"/>
      </rPr>
      <t xml:space="preserve"> TBC*</t>
    </r>
  </si>
  <si>
    <t>*This does NOT include profit/contribution to reserves expectations, which will be calculated on the Package Cost Calculator tab</t>
  </si>
  <si>
    <t>Level 2 and above care assistants</t>
  </si>
  <si>
    <t>Domestics</t>
  </si>
  <si>
    <t xml:space="preserve">Laundry </t>
  </si>
  <si>
    <t>Handyman/Gardener</t>
  </si>
  <si>
    <t>Kitchen assistants</t>
  </si>
  <si>
    <t>Chef/ Cook</t>
  </si>
  <si>
    <t>Administration</t>
  </si>
  <si>
    <t>Manager</t>
  </si>
  <si>
    <t>Staff on training courses/Supernumerate</t>
  </si>
  <si>
    <t>rooms=</t>
  </si>
  <si>
    <t>max rooms =</t>
  </si>
  <si>
    <t>Other, constant cost</t>
  </si>
  <si>
    <t>Other costs, variable depending on activity</t>
  </si>
  <si>
    <t>constant costs =</t>
  </si>
  <si>
    <t>activity costs</t>
  </si>
  <si>
    <t>Lets Agree to Agree report style: 2019
USING 12 MONTH DATA</t>
  </si>
  <si>
    <t>Lets Agree to Agree report style: 2019
USING USER DEFINED TIME PERIOD DATA</t>
  </si>
  <si>
    <t>Registration fees (including CRB checks)</t>
  </si>
  <si>
    <t>Other constant business running sosts=</t>
  </si>
  <si>
    <t>Other variable business costs</t>
  </si>
  <si>
    <r>
      <t>Service delivery total costs</t>
    </r>
    <r>
      <rPr>
        <b/>
        <sz val="10"/>
        <color rgb="FFFF0000"/>
        <rFont val="Calibri"/>
        <family val="2"/>
        <scheme val="minor"/>
      </rPr>
      <t>*</t>
    </r>
  </si>
  <si>
    <t>Business management staff: overhead</t>
  </si>
  <si>
    <t>Care management staff: overhead</t>
  </si>
  <si>
    <t>Agency staff: direct cost</t>
  </si>
  <si>
    <t>On costs of staff : calculated as direct cost</t>
  </si>
  <si>
    <t>Travel costs: direct costs</t>
  </si>
  <si>
    <t>Activity specific costs: direct costs</t>
  </si>
  <si>
    <t>Utility costs: overhead</t>
  </si>
  <si>
    <t>Other overhead costs</t>
  </si>
  <si>
    <t>Capital Expenditure : overhead costs</t>
  </si>
  <si>
    <t>Business sustainability costs: overhead costs</t>
  </si>
  <si>
    <r>
      <t>Constant costs</t>
    </r>
    <r>
      <rPr>
        <sz val="10"/>
        <color theme="1"/>
        <rFont val="Calibri"/>
        <family val="2"/>
        <scheme val="minor"/>
      </rPr>
      <t>: Overhead expenditure that is NOT expected to vary significantly unless the price changes.</t>
    </r>
  </si>
  <si>
    <t>Overhead cost 1 (please change to cost heading)</t>
  </si>
  <si>
    <t>Overhead cost 2 (please change to cost heading)</t>
  </si>
  <si>
    <t>Overhead cost 3 (please change to cost heading)</t>
  </si>
  <si>
    <t>Overhead cost 4 (please change to cost heading)</t>
  </si>
  <si>
    <t>Overhead cost 5 (please change to cost heading)</t>
  </si>
  <si>
    <t>Overhead cost 6 (please change to cost heading)</t>
  </si>
  <si>
    <t>Overhead cost 7 (please change to cost heading)</t>
  </si>
  <si>
    <t>Overhead cost 8 (please change to cost heading)</t>
  </si>
  <si>
    <t>Direct expenditure 4 (please change to cost heading)</t>
  </si>
  <si>
    <t>Direct expenditure 5 (please change to cost heading)</t>
  </si>
  <si>
    <t>Direct expenditure 6 (please change to cost heading)</t>
  </si>
  <si>
    <t>Direct expenditure 7 (please change to cost heading)</t>
  </si>
  <si>
    <t>Direct expenditure 8 (please change to cost heading)</t>
  </si>
  <si>
    <t>This page has been left blank so you can add notes if you wish</t>
  </si>
  <si>
    <t>Benchmark</t>
  </si>
  <si>
    <t xml:space="preserve">Actual </t>
  </si>
  <si>
    <t>occupancy set as</t>
  </si>
  <si>
    <t>occupancy calculated as</t>
  </si>
  <si>
    <r>
      <t xml:space="preserve">This form has been created to gather evidence of  costs and the impact of any in year changes that providers of commissioned services are facing. 
</t>
    </r>
    <r>
      <rPr>
        <sz val="10"/>
        <color theme="1"/>
        <rFont val="Calibri"/>
        <family val="2"/>
        <scheme val="minor"/>
      </rPr>
      <t xml:space="preserve">
Where we hold existing data about your business this has been input, and where changes are known (e.g. additional bank holiday) this has also been updated for you.
</t>
    </r>
    <r>
      <rPr>
        <b/>
        <sz val="10"/>
        <color theme="1"/>
        <rFont val="Calibri"/>
        <family val="2"/>
        <scheme val="minor"/>
      </rPr>
      <t>Please update the 12 month data to reflect 2021-2022 costs</t>
    </r>
    <r>
      <rPr>
        <sz val="10"/>
        <color theme="1"/>
        <rFont val="Calibri"/>
        <family val="2"/>
        <scheme val="minor"/>
      </rPr>
      <t xml:space="preserve">, and then </t>
    </r>
    <r>
      <rPr>
        <b/>
        <sz val="10"/>
        <color theme="1"/>
        <rFont val="Calibri"/>
        <family val="2"/>
        <scheme val="minor"/>
      </rPr>
      <t>input any costs where in year changes have been experienced. You are able to adjust the in year cost change time period on each sheet,</t>
    </r>
    <r>
      <rPr>
        <sz val="10"/>
        <color theme="1"/>
        <rFont val="Calibri"/>
        <family val="2"/>
        <scheme val="minor"/>
      </rPr>
      <t xml:space="preserve"> please update the start and end date cells to reflect the time period being reported. Data will be manipulated to show the a full years cost using the user defined time period. Where you have not experienced a cost change the previous full year cost will be used.</t>
    </r>
    <r>
      <rPr>
        <b/>
        <sz val="10"/>
        <color theme="1"/>
        <rFont val="Calibri"/>
        <family val="2"/>
        <scheme val="minor"/>
      </rPr>
      <t xml:space="preserve">
Where data shows an increase the cell text </t>
    </r>
    <r>
      <rPr>
        <b/>
        <sz val="10"/>
        <color rgb="FFFF0000"/>
        <rFont val="Calibri"/>
        <family val="2"/>
        <scheme val="minor"/>
      </rPr>
      <t xml:space="preserve">will turn red, </t>
    </r>
    <r>
      <rPr>
        <b/>
        <sz val="10"/>
        <color theme="1"/>
        <rFont val="Calibri"/>
        <family val="2"/>
        <scheme val="minor"/>
      </rPr>
      <t>where it shows a decrease, the cell text</t>
    </r>
    <r>
      <rPr>
        <b/>
        <sz val="10"/>
        <color theme="5" tint="-0.249977111117893"/>
        <rFont val="Calibri"/>
        <family val="2"/>
        <scheme val="minor"/>
      </rPr>
      <t xml:space="preserve"> will turn amber.</t>
    </r>
  </si>
  <si>
    <t>Qualified nurses</t>
  </si>
  <si>
    <t>Nursing Auxiliaries/ Advanced level 3's</t>
  </si>
  <si>
    <t>Lead Clinician</t>
  </si>
  <si>
    <t>Well Being Coordinator</t>
  </si>
  <si>
    <t xml:space="preserve">Notes to aid use:
● We recommend you review all rates of pay, but, to support review, cells will be highlighted bright yellow where hours are different between the two data sets. 
●If  staff member does not work on bank holidays, but is given time off in leu, OR there is no difference in pay between standard and bank holiday, enter basic rate in BH 1 and BH 2. If there is only one BH rate, enter this into both BH cells. Use the calculator sheet to support input of data if you pay more than 2 bank holiday rates or pay a different rate at weekends.
●Super numerate staff changes (those you are paying but are not delivering care, for example  on paternity, sickness or study leave) should be entered and their reason for inclusion identified in the Role column e.g. Carer: under investigation
●Agency staff changes should be included on this tab, e.g. Role: Agency Nurse  - the rate is the rate you pay the agency per hour, and the combined hours per week should be an average over the past 3 months.
</t>
  </si>
  <si>
    <t>Continence products</t>
  </si>
  <si>
    <r>
      <t xml:space="preserve">Travel costs: </t>
    </r>
    <r>
      <rPr>
        <sz val="10"/>
        <rFont val="Calibri"/>
        <family val="2"/>
        <scheme val="minor"/>
      </rPr>
      <t>Fuel usage dependent on activity. Vehicle maintenance/depreciation will be constant</t>
    </r>
  </si>
  <si>
    <t>supports care delivery</t>
  </si>
  <si>
    <t>Does your business model include direct care related travel payments to your staff using their own cars? (e.g. client outings, traveling between clients home addresses, visiting community venues or escort duties)</t>
  </si>
  <si>
    <r>
      <t>Activity specific costs:</t>
    </r>
    <r>
      <rPr>
        <sz val="12"/>
        <color theme="1"/>
        <rFont val="Calibri"/>
        <family val="2"/>
        <scheme val="minor"/>
      </rPr>
      <t xml:space="preserve"> </t>
    </r>
    <r>
      <rPr>
        <sz val="10"/>
        <color theme="1"/>
        <rFont val="Calibri"/>
        <family val="2"/>
        <scheme val="minor"/>
      </rPr>
      <t xml:space="preserve"> Direct expenditure that will vary due to price changes and the number of people you are supporting.</t>
    </r>
  </si>
  <si>
    <t>*If you are facing known future increases of our bellwether markers, what are these going to be and when?</t>
  </si>
  <si>
    <r>
      <t xml:space="preserve">This sheet is where you enter the on costs associated with employing staff and your running costs. </t>
    </r>
    <r>
      <rPr>
        <sz val="14"/>
        <color rgb="FFFF0000"/>
        <rFont val="Calibri"/>
        <family val="2"/>
        <scheme val="minor"/>
      </rPr>
      <t>Maintenance, profit and investment should be entered on the development and sustainability tab.</t>
    </r>
  </si>
  <si>
    <t>This calculator will use the last 12 months costs to provide cost of care delivery evidence to commissioners. However a full historic 12 months data may not provide the full picture if you have experienced in year cost changes. You may also wish to submit data for a user defined timescale to show that the current costs being experienced are different.</t>
  </si>
  <si>
    <t>Other non-staff direct (current) expenses</t>
  </si>
  <si>
    <t>Contract maintenance of equipment</t>
  </si>
  <si>
    <t>Rebuild assumptions for a residential based service</t>
  </si>
  <si>
    <t xml:space="preserve">Rebuild costs should be considered during fee setting discussions. However they do not contribute to the cost of day to day care delivery </t>
  </si>
  <si>
    <t>Now review the calculations that have been carried out on your data on the Package Cost Calculator tab</t>
  </si>
  <si>
    <r>
      <t>Depending on your business model you may factor in return on investment, profit, or a contribution to core reserves. Use this 1</t>
    </r>
    <r>
      <rPr>
        <vertAlign val="superscript"/>
        <sz val="10"/>
        <color theme="1"/>
        <rFont val="Calibri"/>
        <family val="2"/>
        <scheme val="minor"/>
      </rPr>
      <t>st</t>
    </r>
    <r>
      <rPr>
        <sz val="10"/>
        <color theme="1"/>
        <rFont val="Calibri"/>
        <family val="2"/>
        <scheme val="minor"/>
      </rPr>
      <t xml:space="preserve"> section to tell us your expectations regarding the profitability margin for your services.</t>
    </r>
  </si>
  <si>
    <r>
      <t>This calculator will use the last 12 months costs + profit and owner benefit expectations to provide cost of care delivery evidence, however 12 months data may not provide all of the evidence you wish to submit to commissioners. 
You may wish to also submit data for different user defined timescales for each of the following  sections</t>
    </r>
    <r>
      <rPr>
        <b/>
        <sz val="10"/>
        <color theme="1"/>
        <rFont val="Calibri"/>
        <family val="2"/>
        <scheme val="minor"/>
      </rPr>
      <t xml:space="preserve"> </t>
    </r>
    <r>
      <rPr>
        <sz val="10"/>
        <color theme="1"/>
        <rFont val="Calibri"/>
        <family val="2"/>
        <scheme val="minor"/>
      </rPr>
      <t>to show the long term investment you are making to your business  (particularly for capital expenditure).</t>
    </r>
  </si>
  <si>
    <t>Maintenance</t>
  </si>
  <si>
    <r>
      <t xml:space="preserve">Rota Staff </t>
    </r>
    <r>
      <rPr>
        <vertAlign val="superscript"/>
        <sz val="10"/>
        <color rgb="FFFF0000"/>
        <rFont val="Calibri"/>
        <family val="2"/>
        <scheme val="minor"/>
      </rPr>
      <t>#</t>
    </r>
  </si>
  <si>
    <r>
      <t>Salaried Staff</t>
    </r>
    <r>
      <rPr>
        <vertAlign val="superscript"/>
        <sz val="10"/>
        <color theme="1"/>
        <rFont val="Calibri"/>
        <family val="2"/>
        <scheme val="minor"/>
      </rPr>
      <t xml:space="preserve"> </t>
    </r>
    <r>
      <rPr>
        <vertAlign val="superscript"/>
        <sz val="10"/>
        <color rgb="FFFF0000"/>
        <rFont val="Calibri"/>
        <family val="2"/>
        <scheme val="minor"/>
      </rPr>
      <t>#</t>
    </r>
  </si>
  <si>
    <r>
      <t xml:space="preserve">Agency Staff </t>
    </r>
    <r>
      <rPr>
        <vertAlign val="superscript"/>
        <sz val="10"/>
        <color rgb="FFFF0000"/>
        <rFont val="Calibri"/>
        <family val="2"/>
        <scheme val="minor"/>
      </rPr>
      <t>#</t>
    </r>
  </si>
  <si>
    <t>Background support staff: overhead</t>
  </si>
  <si>
    <t>Benefits to owners: overhead costs</t>
  </si>
  <si>
    <t>Difference between the two data sets</t>
  </si>
  <si>
    <t>Direct care delivery staff: direct cost</t>
  </si>
  <si>
    <t>Calculations undertaken for a benchmark unit of care = (direct expenses/reported occupancy)+(overhead costs/benchmark occupancy)</t>
  </si>
  <si>
    <t>Working group agreed benchmark occupancy for a benchmark unit of care in 2019:</t>
  </si>
  <si>
    <t># in 2019 staff were segmented by how they were paid. Our revised calculator reflects staff hours that will change in line with occupancy. Therefore there may be a small difference to benchmark staff costs.</t>
  </si>
  <si>
    <t>snapshot occupied rooms (people)</t>
  </si>
  <si>
    <t>Repairs maintenance purchase and lease</t>
  </si>
  <si>
    <t>Calculations undertaken for actual unit of care = (direct expenses/reported occupancy)+(overhead costs/reported occupancy)</t>
  </si>
  <si>
    <t># bank hols @ rate</t>
  </si>
  <si>
    <t>pay rate per hr</t>
  </si>
  <si>
    <t>Input in both BH cells</t>
  </si>
  <si>
    <t>You will need to cary out this exercise for each pay rate</t>
  </si>
  <si>
    <t>If you pay more than 2 bank holiday rates, and are unsure of the atributed costs across the year, you can use this calculator to work out the amount to enter into the BH pay rate cells on the Staffing Wages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</si>
</sst>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
    <numFmt numFmtId="165" formatCode="[h]:mm"/>
  </numFmts>
  <fonts count="53" x14ac:knownFonts="1">
    <font>
      <sz val="11"/>
      <color theme="1"/>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1"/>
      <name val="Calibri"/>
      <family val="2"/>
      <scheme val="minor"/>
    </font>
    <font>
      <sz val="10"/>
      <color rgb="FF3F3F76"/>
      <name val="Calibri"/>
      <family val="2"/>
      <scheme val="minor"/>
    </font>
    <font>
      <sz val="10"/>
      <color theme="0" tint="-0.249977111117893"/>
      <name val="Calibri"/>
      <family val="2"/>
      <scheme val="minor"/>
    </font>
    <font>
      <sz val="10"/>
      <color theme="1"/>
      <name val="Calibri"/>
      <family val="2"/>
    </font>
    <font>
      <sz val="10"/>
      <name val="Calibri"/>
      <family val="2"/>
      <scheme val="minor"/>
    </font>
    <font>
      <b/>
      <sz val="10"/>
      <name val="Calibri"/>
      <family val="2"/>
      <scheme val="minor"/>
    </font>
    <font>
      <b/>
      <sz val="14"/>
      <color theme="1"/>
      <name val="Calibri"/>
      <family val="2"/>
      <scheme val="minor"/>
    </font>
    <font>
      <sz val="14"/>
      <color theme="1"/>
      <name val="Calibri"/>
      <family val="2"/>
      <scheme val="minor"/>
    </font>
    <font>
      <b/>
      <sz val="14"/>
      <color rgb="FFFF0000"/>
      <name val="Calibri"/>
      <family val="2"/>
      <scheme val="minor"/>
    </font>
    <font>
      <vertAlign val="superscript"/>
      <sz val="10"/>
      <color theme="1"/>
      <name val="Calibri"/>
      <family val="2"/>
      <scheme val="minor"/>
    </font>
    <font>
      <b/>
      <vertAlign val="superscript"/>
      <sz val="10"/>
      <color theme="1"/>
      <name val="Calibri"/>
      <family val="2"/>
      <scheme val="minor"/>
    </font>
    <font>
      <sz val="10"/>
      <color theme="0"/>
      <name val="Calibri"/>
      <family val="2"/>
      <scheme val="minor"/>
    </font>
    <font>
      <sz val="10"/>
      <color theme="0" tint="-0.14999847407452621"/>
      <name val="Calibri"/>
      <family val="2"/>
      <scheme val="minor"/>
    </font>
    <font>
      <i/>
      <sz val="10"/>
      <color theme="1"/>
      <name val="Calibri"/>
      <family val="2"/>
      <scheme val="minor"/>
    </font>
    <font>
      <sz val="10"/>
      <color rgb="FF00B050"/>
      <name val="Calibri"/>
      <family val="2"/>
    </font>
    <font>
      <sz val="10"/>
      <color theme="7" tint="-0.249977111117893"/>
      <name val="Calibri"/>
      <family val="2"/>
    </font>
    <font>
      <sz val="10"/>
      <color rgb="FFC00000"/>
      <name val="Calibri"/>
      <family val="2"/>
    </font>
    <font>
      <sz val="10"/>
      <color rgb="FFFF0000"/>
      <name val="Calibri"/>
      <family val="2"/>
      <scheme val="minor"/>
    </font>
    <font>
      <b/>
      <sz val="14"/>
      <name val="Calibri"/>
      <family val="2"/>
      <scheme val="minor"/>
    </font>
    <font>
      <b/>
      <sz val="11"/>
      <color theme="1"/>
      <name val="Calibri"/>
      <family val="2"/>
      <scheme val="minor"/>
    </font>
    <font>
      <b/>
      <sz val="10"/>
      <color theme="0"/>
      <name val="Calibri"/>
      <family val="2"/>
      <scheme val="minor"/>
    </font>
    <font>
      <sz val="11"/>
      <color rgb="FF3F3F76"/>
      <name val="Calibri"/>
      <family val="2"/>
      <scheme val="minor"/>
    </font>
    <font>
      <sz val="10"/>
      <color theme="5"/>
      <name val="Calibri"/>
      <family val="2"/>
      <scheme val="minor"/>
    </font>
    <font>
      <b/>
      <sz val="10"/>
      <color theme="0" tint="-0.249977111117893"/>
      <name val="Calibri"/>
      <family val="2"/>
      <scheme val="minor"/>
    </font>
    <font>
      <b/>
      <sz val="10"/>
      <color rgb="FFFF0000"/>
      <name val="Calibri"/>
      <family val="2"/>
      <scheme val="minor"/>
    </font>
    <font>
      <b/>
      <sz val="10"/>
      <color theme="5" tint="-0.249977111117893"/>
      <name val="Calibri"/>
      <family val="2"/>
      <scheme val="minor"/>
    </font>
    <font>
      <b/>
      <sz val="12"/>
      <color rgb="FFFF0000"/>
      <name val="Calibri"/>
      <family val="2"/>
      <scheme val="minor"/>
    </font>
    <font>
      <b/>
      <i/>
      <sz val="10"/>
      <color theme="1"/>
      <name val="Calibri"/>
      <family val="2"/>
      <scheme val="minor"/>
    </font>
    <font>
      <i/>
      <sz val="10"/>
      <name val="Calibri"/>
      <family val="2"/>
      <scheme val="minor"/>
    </font>
    <font>
      <b/>
      <sz val="10"/>
      <color theme="1"/>
      <name val="Calibri"/>
      <family val="2"/>
    </font>
    <font>
      <b/>
      <i/>
      <sz val="10"/>
      <name val="Calibri"/>
      <family val="2"/>
      <scheme val="minor"/>
    </font>
    <font>
      <b/>
      <sz val="10"/>
      <color theme="0" tint="-0.14999847407452621"/>
      <name val="Calibri"/>
      <family val="2"/>
      <scheme val="minor"/>
    </font>
    <font>
      <b/>
      <sz val="9"/>
      <color theme="1"/>
      <name val="Calibri"/>
      <family val="2"/>
      <scheme val="minor"/>
    </font>
    <font>
      <sz val="11"/>
      <color theme="0"/>
      <name val="Calibri"/>
      <family val="2"/>
      <scheme val="minor"/>
    </font>
    <font>
      <sz val="8"/>
      <color theme="0"/>
      <name val="Calibri"/>
      <family val="2"/>
      <scheme val="minor"/>
    </font>
    <font>
      <b/>
      <sz val="11"/>
      <color theme="0"/>
      <name val="Calibri"/>
      <family val="2"/>
      <scheme val="minor"/>
    </font>
    <font>
      <sz val="12"/>
      <color theme="1"/>
      <name val="Calibri"/>
      <family val="2"/>
      <scheme val="minor"/>
    </font>
    <font>
      <b/>
      <sz val="18"/>
      <color theme="1"/>
      <name val="Calibri"/>
      <family val="2"/>
      <scheme val="minor"/>
    </font>
    <font>
      <u/>
      <sz val="11"/>
      <color theme="10"/>
      <name val="Calibri"/>
      <family val="2"/>
      <scheme val="minor"/>
    </font>
    <font>
      <sz val="18"/>
      <color theme="1"/>
      <name val="Calibri"/>
      <family val="2"/>
      <scheme val="minor"/>
    </font>
    <font>
      <b/>
      <sz val="8"/>
      <color theme="1"/>
      <name val="Calibri"/>
      <family val="2"/>
      <scheme val="minor"/>
    </font>
    <font>
      <sz val="14"/>
      <color rgb="FFFF0000"/>
      <name val="Calibri"/>
      <family val="2"/>
      <scheme val="minor"/>
    </font>
    <font>
      <b/>
      <u/>
      <sz val="11"/>
      <color rgb="FFFF0000"/>
      <name val="Calibri"/>
      <family val="2"/>
      <scheme val="minor"/>
    </font>
    <font>
      <sz val="10"/>
      <name val="Calibri"/>
      <family val="2"/>
    </font>
    <font>
      <sz val="11"/>
      <color theme="0" tint="-0.249977111117893"/>
      <name val="Calibri"/>
      <family val="2"/>
      <scheme val="minor"/>
    </font>
    <font>
      <sz val="9"/>
      <color theme="1"/>
      <name val="Calibri"/>
      <family val="2"/>
      <scheme val="minor"/>
    </font>
    <font>
      <sz val="8"/>
      <color rgb="FFFF0000"/>
      <name val="Calibri"/>
      <family val="2"/>
      <scheme val="minor"/>
    </font>
    <font>
      <vertAlign val="superscript"/>
      <sz val="10"/>
      <color rgb="FFFF0000"/>
      <name val="Calibri"/>
      <family val="2"/>
      <scheme val="minor"/>
    </font>
    <font>
      <b/>
      <sz val="9"/>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F2F2"/>
      </patternFill>
    </fill>
    <fill>
      <patternFill patternType="solid">
        <fgColor rgb="FFFFFFCC"/>
      </patternFill>
    </fill>
    <fill>
      <patternFill patternType="solid">
        <fgColor theme="0" tint="-4.9989318521683403E-2"/>
        <bgColor indexed="64"/>
      </patternFill>
    </fill>
    <fill>
      <patternFill patternType="solid">
        <fgColor rgb="FFFFCC99"/>
      </patternFill>
    </fill>
    <fill>
      <patternFill patternType="solid">
        <fgColor theme="4"/>
      </patternFill>
    </fill>
    <fill>
      <patternFill patternType="solid">
        <fgColor rgb="FFA5A5A5"/>
      </patternFill>
    </fill>
    <fill>
      <patternFill patternType="solid">
        <fgColor theme="5"/>
        <bgColor indexed="64"/>
      </patternFill>
    </fill>
    <fill>
      <patternFill patternType="solid">
        <fgColor rgb="FFFFA3A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FFCC"/>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theme="0" tint="-0.14996795556505021"/>
      </left>
      <right style="thin">
        <color theme="0" tint="-0.14996795556505021"/>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right style="thin">
        <color rgb="FF7F7F7F"/>
      </right>
      <top style="thin">
        <color rgb="FF7F7F7F"/>
      </top>
      <bottom/>
      <diagonal/>
    </border>
    <border>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style="thin">
        <color rgb="FF7F7F7F"/>
      </left>
      <right/>
      <top style="thin">
        <color rgb="FF7F7F7F"/>
      </top>
      <bottom/>
      <diagonal/>
    </border>
    <border>
      <left style="thin">
        <color rgb="FFB2B2B2"/>
      </left>
      <right style="thin">
        <color rgb="FFB2B2B2"/>
      </right>
      <top style="thin">
        <color rgb="FFB2B2B2"/>
      </top>
      <bottom style="medium">
        <color indexed="64"/>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thin">
        <color rgb="FFB2B2B2"/>
      </left>
      <right style="medium">
        <color indexed="64"/>
      </right>
      <top style="thin">
        <color rgb="FFB2B2B2"/>
      </top>
      <bottom style="thin">
        <color rgb="FFB2B2B2"/>
      </bottom>
      <diagonal/>
    </border>
    <border>
      <left style="thin">
        <color rgb="FFB2B2B2"/>
      </left>
      <right style="medium">
        <color indexed="64"/>
      </right>
      <top style="thin">
        <color rgb="FFB2B2B2"/>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rgb="FFB2B2B2"/>
      </right>
      <top/>
      <bottom/>
      <diagonal/>
    </border>
    <border>
      <left/>
      <right style="thin">
        <color indexed="64"/>
      </right>
      <top/>
      <bottom style="thin">
        <color indexed="64"/>
      </bottom>
      <diagonal/>
    </border>
    <border>
      <left/>
      <right style="thin">
        <color indexed="64"/>
      </right>
      <top/>
      <bottom/>
      <diagonal/>
    </border>
    <border>
      <left style="thin">
        <color rgb="FFB2B2B2"/>
      </left>
      <right style="medium">
        <color indexed="64"/>
      </right>
      <top style="thin">
        <color rgb="FFB2B2B2"/>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rgb="FFB2B2B2"/>
      </bottom>
      <diagonal/>
    </border>
    <border>
      <left/>
      <right/>
      <top style="thin">
        <color rgb="FFB2B2B2"/>
      </top>
      <bottom style="thin">
        <color rgb="FFB2B2B2"/>
      </bottom>
      <diagonal/>
    </border>
    <border>
      <left/>
      <right style="medium">
        <color indexed="64"/>
      </right>
      <top style="thin">
        <color rgb="FFB2B2B2"/>
      </top>
      <bottom style="thin">
        <color rgb="FFB2B2B2"/>
      </bottom>
      <diagonal/>
    </border>
    <border>
      <left style="thin">
        <color rgb="FFB2B2B2"/>
      </left>
      <right/>
      <top style="thin">
        <color rgb="FFB2B2B2"/>
      </top>
      <bottom/>
      <diagonal/>
    </border>
    <border>
      <left style="thin">
        <color rgb="FFB2B2B2"/>
      </left>
      <right/>
      <top style="thin">
        <color rgb="FFB2B2B2"/>
      </top>
      <bottom style="thin">
        <color rgb="FFB2B2B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7F7F7F"/>
      </left>
      <right style="medium">
        <color indexed="64"/>
      </right>
      <top style="thin">
        <color rgb="FF7F7F7F"/>
      </top>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right style="thin">
        <color rgb="FF7F7F7F"/>
      </right>
      <top style="thin">
        <color rgb="FF7F7F7F"/>
      </top>
      <bottom style="medium">
        <color indexed="64"/>
      </bottom>
      <diagonal/>
    </border>
    <border>
      <left style="thin">
        <color rgb="FFB2B2B2"/>
      </left>
      <right style="thin">
        <color rgb="FFB2B2B2"/>
      </right>
      <top/>
      <bottom style="thin">
        <color rgb="FFB2B2B2"/>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rgb="FFB2B2B2"/>
      </left>
      <right/>
      <top/>
      <bottom/>
      <diagonal/>
    </border>
    <border>
      <left style="thin">
        <color rgb="FFB2B2B2"/>
      </left>
      <right style="thin">
        <color rgb="FFB2B2B2"/>
      </right>
      <top style="thin">
        <color indexed="64"/>
      </top>
      <bottom style="thin">
        <color indexed="64"/>
      </bottom>
      <diagonal/>
    </border>
    <border>
      <left style="thin">
        <color rgb="FFB2B2B2"/>
      </left>
      <right/>
      <top style="thin">
        <color indexed="64"/>
      </top>
      <bottom/>
      <diagonal/>
    </border>
    <border>
      <left style="double">
        <color rgb="FF3F3F3F"/>
      </left>
      <right/>
      <top style="double">
        <color rgb="FF3F3F3F"/>
      </top>
      <bottom style="double">
        <color rgb="FF3F3F3F"/>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s>
  <cellStyleXfs count="7">
    <xf numFmtId="0" fontId="0" fillId="0" borderId="0"/>
    <xf numFmtId="0" fontId="2" fillId="5" borderId="17" applyNumberFormat="0" applyAlignment="0" applyProtection="0"/>
    <xf numFmtId="0" fontId="1" fillId="6" borderId="18" applyNumberFormat="0" applyFont="0" applyAlignment="0" applyProtection="0"/>
    <xf numFmtId="0" fontId="25" fillId="8" borderId="17" applyNumberFormat="0" applyAlignment="0" applyProtection="0"/>
    <xf numFmtId="0" fontId="37" fillId="9" borderId="0" applyNumberFormat="0" applyBorder="0" applyAlignment="0" applyProtection="0"/>
    <xf numFmtId="0" fontId="39" fillId="10" borderId="68" applyNumberFormat="0" applyAlignment="0" applyProtection="0"/>
    <xf numFmtId="0" fontId="42" fillId="0" borderId="0" applyNumberFormat="0" applyFill="0" applyBorder="0" applyAlignment="0" applyProtection="0"/>
  </cellStyleXfs>
  <cellXfs count="722">
    <xf numFmtId="0" fontId="0" fillId="0" borderId="0" xfId="0"/>
    <xf numFmtId="0" fontId="0" fillId="4" borderId="0" xfId="0" applyFont="1" applyFill="1" applyProtection="1">
      <protection hidden="1"/>
    </xf>
    <xf numFmtId="0" fontId="3" fillId="0" borderId="0" xfId="0" applyFont="1" applyAlignment="1" applyProtection="1">
      <protection hidden="1"/>
    </xf>
    <xf numFmtId="0" fontId="3" fillId="0" borderId="0" xfId="0" applyFont="1" applyProtection="1">
      <protection hidden="1"/>
    </xf>
    <xf numFmtId="0" fontId="3" fillId="4" borderId="0" xfId="0" applyFont="1" applyFill="1" applyAlignment="1" applyProtection="1">
      <alignment horizontal="left"/>
      <protection hidden="1"/>
    </xf>
    <xf numFmtId="0" fontId="4" fillId="0" borderId="0" xfId="0" applyFont="1" applyAlignment="1" applyProtection="1">
      <alignment horizontal="left"/>
      <protection hidden="1"/>
    </xf>
    <xf numFmtId="0" fontId="4" fillId="0" borderId="0" xfId="0" applyFont="1" applyBorder="1" applyAlignment="1" applyProtection="1">
      <alignment horizontal="center" vertical="center" wrapText="1"/>
      <protection hidden="1"/>
    </xf>
    <xf numFmtId="0" fontId="3" fillId="0" borderId="0" xfId="0" applyFont="1" applyBorder="1" applyAlignment="1" applyProtection="1">
      <alignment horizontal="left"/>
      <protection hidden="1"/>
    </xf>
    <xf numFmtId="0" fontId="3" fillId="0" borderId="0" xfId="0" applyFont="1" applyAlignment="1" applyProtection="1">
      <alignment horizontal="left"/>
      <protection hidden="1"/>
    </xf>
    <xf numFmtId="0" fontId="3" fillId="4" borderId="0" xfId="0" applyFont="1" applyFill="1" applyProtection="1">
      <protection hidden="1"/>
    </xf>
    <xf numFmtId="0" fontId="4" fillId="0" borderId="0" xfId="0" applyFont="1" applyProtection="1">
      <protection hidden="1"/>
    </xf>
    <xf numFmtId="0" fontId="4" fillId="0" borderId="0" xfId="0" applyFont="1" applyAlignment="1" applyProtection="1">
      <alignment wrapText="1"/>
      <protection hidden="1"/>
    </xf>
    <xf numFmtId="0" fontId="3" fillId="4" borderId="0" xfId="0" applyFont="1" applyFill="1" applyAlignment="1" applyProtection="1">
      <alignment wrapText="1"/>
      <protection hidden="1"/>
    </xf>
    <xf numFmtId="165" fontId="4" fillId="0" borderId="0" xfId="0" applyNumberFormat="1" applyFont="1" applyProtection="1">
      <protection hidden="1"/>
    </xf>
    <xf numFmtId="0" fontId="3" fillId="0" borderId="0" xfId="0" applyFont="1" applyProtection="1">
      <protection locked="0"/>
    </xf>
    <xf numFmtId="0" fontId="3" fillId="4" borderId="0" xfId="0" applyFont="1" applyFill="1" applyAlignment="1" applyProtection="1">
      <protection hidden="1"/>
    </xf>
    <xf numFmtId="0" fontId="3" fillId="0" borderId="15" xfId="0" applyFont="1" applyBorder="1" applyProtection="1">
      <protection hidden="1"/>
    </xf>
    <xf numFmtId="0" fontId="4" fillId="0" borderId="0" xfId="0" applyFont="1" applyBorder="1" applyAlignment="1" applyProtection="1">
      <alignment horizontal="center" vertical="center"/>
      <protection hidden="1"/>
    </xf>
    <xf numFmtId="0" fontId="4" fillId="0" borderId="0" xfId="0" applyFont="1" applyFill="1" applyBorder="1" applyAlignment="1" applyProtection="1">
      <alignment horizontal="center" vertical="center" wrapText="1"/>
      <protection hidden="1"/>
    </xf>
    <xf numFmtId="0" fontId="3" fillId="0" borderId="0" xfId="0" applyFont="1" applyBorder="1" applyAlignment="1" applyProtection="1">
      <alignment horizontal="center" vertical="center" wrapText="1"/>
      <protection hidden="1"/>
    </xf>
    <xf numFmtId="0" fontId="3" fillId="0" borderId="0" xfId="0" applyFont="1" applyBorder="1" applyAlignment="1" applyProtection="1">
      <alignment horizontal="center" vertical="center"/>
      <protection hidden="1"/>
    </xf>
    <xf numFmtId="0" fontId="3" fillId="0" borderId="0" xfId="0" applyFont="1" applyBorder="1" applyProtection="1">
      <protection hidden="1"/>
    </xf>
    <xf numFmtId="0" fontId="5" fillId="6" borderId="22" xfId="2" applyFont="1" applyBorder="1" applyAlignment="1" applyProtection="1">
      <protection locked="0"/>
    </xf>
    <xf numFmtId="46" fontId="3" fillId="0" borderId="0" xfId="0" applyNumberFormat="1" applyFont="1" applyProtection="1">
      <protection hidden="1"/>
    </xf>
    <xf numFmtId="164" fontId="3" fillId="0" borderId="0" xfId="0" applyNumberFormat="1" applyFont="1" applyProtection="1">
      <protection hidden="1"/>
    </xf>
    <xf numFmtId="0" fontId="3" fillId="0" borderId="0" xfId="0" applyFont="1" applyBorder="1" applyAlignment="1" applyProtection="1">
      <protection hidden="1"/>
    </xf>
    <xf numFmtId="164" fontId="3" fillId="0" borderId="0" xfId="0" applyNumberFormat="1" applyFont="1" applyBorder="1" applyProtection="1">
      <protection hidden="1"/>
    </xf>
    <xf numFmtId="0" fontId="3" fillId="0" borderId="0" xfId="0" applyFont="1" applyBorder="1" applyAlignment="1" applyProtection="1">
      <alignment horizontal="center"/>
      <protection hidden="1"/>
    </xf>
    <xf numFmtId="164" fontId="6" fillId="4" borderId="16" xfId="0" applyNumberFormat="1" applyFont="1" applyFill="1" applyBorder="1" applyAlignment="1" applyProtection="1">
      <protection hidden="1"/>
    </xf>
    <xf numFmtId="165" fontId="6" fillId="4" borderId="16" xfId="0" applyNumberFormat="1" applyFont="1" applyFill="1" applyBorder="1" applyProtection="1">
      <protection hidden="1"/>
    </xf>
    <xf numFmtId="0" fontId="6" fillId="4" borderId="16" xfId="0" applyFont="1" applyFill="1" applyBorder="1" applyProtection="1">
      <protection hidden="1"/>
    </xf>
    <xf numFmtId="4" fontId="8" fillId="5" borderId="17" xfId="1" applyNumberFormat="1" applyFont="1" applyBorder="1" applyProtection="1">
      <protection hidden="1"/>
    </xf>
    <xf numFmtId="4" fontId="9" fillId="5" borderId="23" xfId="1" applyNumberFormat="1" applyFont="1" applyBorder="1" applyProtection="1">
      <protection hidden="1"/>
    </xf>
    <xf numFmtId="4" fontId="8" fillId="5" borderId="20" xfId="1" applyNumberFormat="1" applyFont="1" applyBorder="1" applyProtection="1">
      <protection hidden="1"/>
    </xf>
    <xf numFmtId="4" fontId="8" fillId="5" borderId="21" xfId="1" applyNumberFormat="1" applyFont="1" applyBorder="1" applyProtection="1">
      <protection hidden="1"/>
    </xf>
    <xf numFmtId="4" fontId="9" fillId="5" borderId="24" xfId="1" applyNumberFormat="1" applyFont="1" applyBorder="1" applyProtection="1">
      <protection hidden="1"/>
    </xf>
    <xf numFmtId="4" fontId="8" fillId="5" borderId="17" xfId="1" applyNumberFormat="1" applyFont="1" applyProtection="1">
      <protection hidden="1"/>
    </xf>
    <xf numFmtId="4" fontId="8" fillId="5" borderId="19" xfId="1" applyNumberFormat="1" applyFont="1" applyBorder="1" applyProtection="1">
      <protection hidden="1"/>
    </xf>
    <xf numFmtId="4" fontId="9" fillId="5" borderId="17" xfId="1" applyNumberFormat="1" applyFont="1" applyProtection="1">
      <protection hidden="1"/>
    </xf>
    <xf numFmtId="0" fontId="0" fillId="0" borderId="0" xfId="0" applyFont="1" applyFill="1" applyBorder="1" applyAlignment="1" applyProtection="1">
      <alignment vertical="center" wrapText="1"/>
      <protection hidden="1"/>
    </xf>
    <xf numFmtId="4" fontId="4" fillId="0" borderId="0" xfId="0" applyNumberFormat="1" applyFont="1" applyProtection="1">
      <protection hidden="1"/>
    </xf>
    <xf numFmtId="0" fontId="3" fillId="0" borderId="0" xfId="0" applyFont="1" applyAlignment="1" applyProtection="1">
      <alignment vertical="center"/>
      <protection hidden="1"/>
    </xf>
    <xf numFmtId="0" fontId="3" fillId="4" borderId="12" xfId="0" applyFont="1" applyFill="1" applyBorder="1" applyAlignment="1" applyProtection="1">
      <alignment vertical="top" wrapText="1"/>
      <protection hidden="1"/>
    </xf>
    <xf numFmtId="0" fontId="0" fillId="0" borderId="0" xfId="0" applyFont="1" applyBorder="1" applyAlignment="1" applyProtection="1">
      <alignment horizontal="right" vertical="center" wrapText="1"/>
      <protection hidden="1"/>
    </xf>
    <xf numFmtId="14" fontId="0" fillId="6" borderId="18" xfId="2" applyNumberFormat="1" applyFont="1" applyAlignment="1" applyProtection="1">
      <alignment vertical="center" wrapText="1"/>
      <protection locked="0"/>
    </xf>
    <xf numFmtId="9" fontId="3" fillId="0" borderId="0" xfId="0" applyNumberFormat="1" applyFont="1" applyAlignment="1" applyProtection="1">
      <alignment vertical="center"/>
      <protection hidden="1"/>
    </xf>
    <xf numFmtId="4" fontId="5" fillId="6" borderId="22" xfId="2" applyNumberFormat="1" applyFont="1" applyBorder="1" applyAlignment="1" applyProtection="1">
      <protection locked="0"/>
    </xf>
    <xf numFmtId="0" fontId="3" fillId="4" borderId="0" xfId="0" applyFont="1" applyFill="1" applyBorder="1" applyProtection="1">
      <protection hidden="1"/>
    </xf>
    <xf numFmtId="165" fontId="6" fillId="4" borderId="0" xfId="0" applyNumberFormat="1" applyFont="1" applyFill="1" applyBorder="1" applyProtection="1">
      <protection hidden="1"/>
    </xf>
    <xf numFmtId="164" fontId="6" fillId="4" borderId="0" xfId="0" applyNumberFormat="1" applyFont="1" applyFill="1" applyBorder="1" applyAlignment="1" applyProtection="1">
      <protection hidden="1"/>
    </xf>
    <xf numFmtId="0" fontId="6" fillId="4" borderId="0" xfId="0" applyFont="1" applyFill="1" applyBorder="1" applyProtection="1">
      <protection hidden="1"/>
    </xf>
    <xf numFmtId="0" fontId="0" fillId="0" borderId="0" xfId="0" applyFont="1" applyProtection="1">
      <protection hidden="1"/>
    </xf>
    <xf numFmtId="0" fontId="3" fillId="4" borderId="0" xfId="0" applyFont="1" applyFill="1" applyProtection="1">
      <protection hidden="1"/>
    </xf>
    <xf numFmtId="0" fontId="3" fillId="4" borderId="0" xfId="0" applyFont="1" applyFill="1" applyAlignment="1" applyProtection="1">
      <alignment wrapText="1"/>
      <protection hidden="1"/>
    </xf>
    <xf numFmtId="0" fontId="3" fillId="4" borderId="0" xfId="0" applyFont="1" applyFill="1" applyAlignment="1" applyProtection="1">
      <protection hidden="1"/>
    </xf>
    <xf numFmtId="0" fontId="4" fillId="4" borderId="13" xfId="0" applyFont="1" applyFill="1" applyBorder="1" applyAlignment="1" applyProtection="1">
      <alignment horizontal="right" vertical="top" wrapText="1"/>
      <protection hidden="1"/>
    </xf>
    <xf numFmtId="0" fontId="6" fillId="4" borderId="0" xfId="0" applyFont="1" applyFill="1" applyBorder="1" applyAlignment="1" applyProtection="1">
      <alignment horizontal="right" vertical="top" wrapText="1"/>
      <protection hidden="1"/>
    </xf>
    <xf numFmtId="14" fontId="6" fillId="4" borderId="0" xfId="0" applyNumberFormat="1" applyFont="1" applyFill="1" applyBorder="1" applyAlignment="1" applyProtection="1">
      <alignment horizontal="left" vertical="top" wrapText="1"/>
      <protection hidden="1"/>
    </xf>
    <xf numFmtId="14" fontId="3" fillId="6" borderId="31" xfId="2" applyNumberFormat="1" applyFont="1" applyBorder="1" applyAlignment="1" applyProtection="1">
      <alignment horizontal="left" vertical="top" wrapText="1"/>
      <protection locked="0"/>
    </xf>
    <xf numFmtId="0" fontId="3" fillId="0" borderId="1" xfId="0" applyFont="1" applyBorder="1" applyAlignment="1" applyProtection="1">
      <alignment vertical="center"/>
      <protection hidden="1"/>
    </xf>
    <xf numFmtId="0" fontId="3" fillId="4" borderId="0" xfId="0" applyFont="1" applyFill="1" applyBorder="1" applyAlignment="1" applyProtection="1">
      <protection hidden="1"/>
    </xf>
    <xf numFmtId="44" fontId="3" fillId="2" borderId="1" xfId="0" applyNumberFormat="1" applyFont="1" applyFill="1" applyBorder="1" applyAlignment="1" applyProtection="1">
      <alignment horizontal="left" vertical="center" wrapText="1"/>
      <protection hidden="1"/>
    </xf>
    <xf numFmtId="42" fontId="3" fillId="2" borderId="42" xfId="0" applyNumberFormat="1" applyFont="1" applyFill="1" applyBorder="1" applyAlignment="1" applyProtection="1">
      <alignment horizontal="left" vertical="center" wrapText="1"/>
      <protection hidden="1"/>
    </xf>
    <xf numFmtId="0" fontId="3" fillId="2" borderId="0" xfId="0" applyFont="1" applyFill="1" applyProtection="1">
      <protection hidden="1"/>
    </xf>
    <xf numFmtId="0" fontId="3" fillId="2" borderId="0" xfId="0" applyFont="1" applyFill="1" applyAlignment="1" applyProtection="1">
      <alignment wrapText="1"/>
      <protection hidden="1"/>
    </xf>
    <xf numFmtId="0" fontId="15" fillId="0" borderId="0" xfId="0" applyFont="1" applyProtection="1">
      <protection hidden="1"/>
    </xf>
    <xf numFmtId="0" fontId="3" fillId="3" borderId="14" xfId="0" applyFont="1" applyFill="1" applyBorder="1" applyProtection="1">
      <protection hidden="1"/>
    </xf>
    <xf numFmtId="0" fontId="16" fillId="3" borderId="14" xfId="0" applyFont="1" applyFill="1" applyBorder="1" applyProtection="1">
      <protection hidden="1"/>
    </xf>
    <xf numFmtId="0" fontId="8" fillId="4" borderId="0" xfId="0" applyFont="1" applyFill="1" applyProtection="1">
      <protection hidden="1"/>
    </xf>
    <xf numFmtId="0" fontId="6" fillId="4" borderId="0" xfId="0" applyFont="1" applyFill="1" applyAlignment="1" applyProtection="1">
      <alignment wrapText="1"/>
      <protection hidden="1"/>
    </xf>
    <xf numFmtId="0" fontId="6" fillId="4" borderId="0" xfId="0" applyFont="1" applyFill="1" applyProtection="1">
      <protection hidden="1"/>
    </xf>
    <xf numFmtId="0" fontId="3" fillId="0" borderId="0" xfId="0" applyFont="1" applyFill="1" applyBorder="1" applyAlignment="1" applyProtection="1">
      <alignment vertical="center" wrapText="1"/>
      <protection hidden="1"/>
    </xf>
    <xf numFmtId="0" fontId="3" fillId="0" borderId="0" xfId="0" applyFont="1" applyBorder="1" applyAlignment="1" applyProtection="1">
      <alignment horizontal="right" vertical="center"/>
      <protection hidden="1"/>
    </xf>
    <xf numFmtId="0" fontId="3" fillId="4" borderId="0" xfId="0" applyFont="1" applyFill="1" applyBorder="1" applyAlignment="1" applyProtection="1">
      <alignment vertical="center" wrapText="1"/>
      <protection hidden="1"/>
    </xf>
    <xf numFmtId="0" fontId="3" fillId="4" borderId="0" xfId="0" applyFont="1" applyFill="1" applyBorder="1" applyAlignment="1" applyProtection="1">
      <alignment horizontal="right" vertical="center"/>
      <protection hidden="1"/>
    </xf>
    <xf numFmtId="14" fontId="3" fillId="4" borderId="0" xfId="0" applyNumberFormat="1" applyFont="1" applyFill="1" applyBorder="1" applyAlignment="1" applyProtection="1">
      <alignment vertical="center"/>
      <protection hidden="1"/>
    </xf>
    <xf numFmtId="3" fontId="3" fillId="3" borderId="1" xfId="0" applyNumberFormat="1" applyFont="1" applyFill="1" applyBorder="1" applyProtection="1">
      <protection hidden="1"/>
    </xf>
    <xf numFmtId="43" fontId="6" fillId="4" borderId="0" xfId="0" applyNumberFormat="1" applyFont="1" applyFill="1" applyBorder="1" applyProtection="1">
      <protection hidden="1"/>
    </xf>
    <xf numFmtId="41" fontId="6" fillId="4" borderId="0" xfId="0" applyNumberFormat="1" applyFont="1" applyFill="1" applyProtection="1">
      <protection hidden="1"/>
    </xf>
    <xf numFmtId="41" fontId="3" fillId="6" borderId="1" xfId="2" applyNumberFormat="1" applyFont="1" applyBorder="1" applyProtection="1">
      <protection locked="0"/>
    </xf>
    <xf numFmtId="41" fontId="3" fillId="4" borderId="0" xfId="2" applyNumberFormat="1" applyFont="1" applyFill="1" applyBorder="1" applyProtection="1">
      <protection hidden="1"/>
    </xf>
    <xf numFmtId="0" fontId="6" fillId="4" borderId="0" xfId="0" applyNumberFormat="1" applyFont="1" applyFill="1" applyBorder="1" applyProtection="1">
      <protection hidden="1"/>
    </xf>
    <xf numFmtId="0" fontId="3" fillId="2" borderId="41" xfId="0" applyFont="1" applyFill="1" applyBorder="1" applyAlignment="1" applyProtection="1">
      <alignment horizontal="center" wrapText="1"/>
      <protection hidden="1"/>
    </xf>
    <xf numFmtId="0" fontId="3" fillId="2" borderId="38" xfId="0" applyFont="1" applyFill="1" applyBorder="1" applyAlignment="1" applyProtection="1">
      <alignment horizontal="center" wrapText="1"/>
      <protection hidden="1"/>
    </xf>
    <xf numFmtId="0" fontId="3" fillId="2" borderId="39" xfId="0" applyFont="1" applyFill="1" applyBorder="1" applyAlignment="1" applyProtection="1">
      <alignment horizontal="center" wrapText="1"/>
      <protection hidden="1"/>
    </xf>
    <xf numFmtId="0" fontId="6" fillId="4" borderId="40" xfId="0" applyFont="1" applyFill="1" applyBorder="1" applyProtection="1">
      <protection hidden="1"/>
    </xf>
    <xf numFmtId="41" fontId="6" fillId="4" borderId="40" xfId="0" applyNumberFormat="1" applyFont="1" applyFill="1" applyBorder="1" applyProtection="1">
      <protection hidden="1"/>
    </xf>
    <xf numFmtId="41" fontId="6" fillId="4" borderId="40" xfId="2" applyNumberFormat="1" applyFont="1" applyFill="1" applyBorder="1" applyProtection="1">
      <protection hidden="1"/>
    </xf>
    <xf numFmtId="3" fontId="6" fillId="4" borderId="40" xfId="0" applyNumberFormat="1" applyFont="1" applyFill="1" applyBorder="1" applyProtection="1">
      <protection hidden="1"/>
    </xf>
    <xf numFmtId="0" fontId="3" fillId="2" borderId="1" xfId="0" applyFont="1" applyFill="1" applyBorder="1" applyAlignment="1" applyProtection="1">
      <alignment horizontal="center"/>
      <protection hidden="1"/>
    </xf>
    <xf numFmtId="0" fontId="3" fillId="2" borderId="1" xfId="0" applyFont="1" applyFill="1" applyBorder="1" applyAlignment="1" applyProtection="1">
      <alignment horizontal="center" wrapText="1"/>
      <protection hidden="1"/>
    </xf>
    <xf numFmtId="0" fontId="3" fillId="2" borderId="1" xfId="0" applyFont="1" applyFill="1" applyBorder="1" applyProtection="1">
      <protection hidden="1"/>
    </xf>
    <xf numFmtId="41" fontId="3" fillId="2" borderId="1" xfId="0" applyNumberFormat="1" applyFont="1" applyFill="1" applyBorder="1" applyProtection="1">
      <protection hidden="1"/>
    </xf>
    <xf numFmtId="41" fontId="3" fillId="2" borderId="1" xfId="0" applyNumberFormat="1" applyFont="1" applyFill="1" applyBorder="1" applyAlignment="1" applyProtection="1">
      <alignment vertical="center" wrapText="1"/>
      <protection hidden="1"/>
    </xf>
    <xf numFmtId="0" fontId="4" fillId="0" borderId="1" xfId="0" applyFont="1" applyFill="1" applyBorder="1" applyAlignment="1" applyProtection="1">
      <alignment horizontal="left" indent="7"/>
      <protection hidden="1"/>
    </xf>
    <xf numFmtId="41" fontId="4" fillId="0" borderId="1" xfId="0" applyNumberFormat="1" applyFont="1" applyFill="1" applyBorder="1" applyProtection="1">
      <protection hidden="1"/>
    </xf>
    <xf numFmtId="0" fontId="21" fillId="4" borderId="0" xfId="0" applyFont="1" applyFill="1" applyProtection="1">
      <protection hidden="1"/>
    </xf>
    <xf numFmtId="0" fontId="3" fillId="0" borderId="1" xfId="0" applyFont="1" applyFill="1" applyBorder="1" applyAlignment="1" applyProtection="1">
      <alignment vertical="center" wrapText="1"/>
      <protection hidden="1"/>
    </xf>
    <xf numFmtId="0" fontId="3" fillId="0" borderId="1" xfId="0" applyFont="1" applyBorder="1" applyAlignment="1" applyProtection="1">
      <alignment horizontal="right" vertical="center"/>
      <protection hidden="1"/>
    </xf>
    <xf numFmtId="14" fontId="3" fillId="6" borderId="1" xfId="2" applyNumberFormat="1" applyFont="1" applyBorder="1" applyAlignment="1" applyProtection="1">
      <alignment vertical="center"/>
      <protection locked="0"/>
    </xf>
    <xf numFmtId="3" fontId="3" fillId="4" borderId="0" xfId="0" applyNumberFormat="1" applyFont="1" applyFill="1" applyBorder="1" applyProtection="1">
      <protection hidden="1"/>
    </xf>
    <xf numFmtId="14" fontId="21" fillId="4" borderId="0" xfId="0" applyNumberFormat="1" applyFont="1" applyFill="1" applyBorder="1" applyProtection="1">
      <protection hidden="1"/>
    </xf>
    <xf numFmtId="0" fontId="6" fillId="4" borderId="0" xfId="0" applyNumberFormat="1" applyFont="1" applyFill="1" applyProtection="1">
      <protection hidden="1"/>
    </xf>
    <xf numFmtId="41" fontId="3" fillId="3" borderId="1" xfId="0" applyNumberFormat="1" applyFont="1" applyFill="1" applyBorder="1" applyProtection="1">
      <protection hidden="1"/>
    </xf>
    <xf numFmtId="41" fontId="21" fillId="4" borderId="0" xfId="0" applyNumberFormat="1" applyFont="1" applyFill="1" applyProtection="1">
      <protection hidden="1"/>
    </xf>
    <xf numFmtId="41" fontId="3" fillId="3" borderId="1" xfId="0" applyNumberFormat="1" applyFont="1" applyFill="1" applyBorder="1" applyAlignment="1" applyProtection="1">
      <alignment vertical="center" wrapText="1"/>
      <protection hidden="1"/>
    </xf>
    <xf numFmtId="0" fontId="3" fillId="2" borderId="33" xfId="0" applyFont="1" applyFill="1" applyBorder="1" applyAlignment="1" applyProtection="1">
      <alignment horizontal="center"/>
      <protection hidden="1"/>
    </xf>
    <xf numFmtId="41" fontId="3" fillId="6" borderId="42" xfId="2" applyNumberFormat="1" applyFont="1" applyBorder="1" applyProtection="1">
      <protection locked="0"/>
    </xf>
    <xf numFmtId="0" fontId="3" fillId="0" borderId="38" xfId="0" applyFont="1" applyFill="1" applyBorder="1" applyAlignment="1" applyProtection="1">
      <alignment vertical="center" wrapText="1"/>
      <protection hidden="1"/>
    </xf>
    <xf numFmtId="0" fontId="3" fillId="0" borderId="38" xfId="0" applyFont="1" applyBorder="1" applyAlignment="1" applyProtection="1">
      <alignment horizontal="right" vertical="center"/>
      <protection hidden="1"/>
    </xf>
    <xf numFmtId="14" fontId="3" fillId="6" borderId="38" xfId="2" applyNumberFormat="1" applyFont="1" applyBorder="1" applyAlignment="1" applyProtection="1">
      <alignment vertical="center"/>
      <protection locked="0"/>
    </xf>
    <xf numFmtId="0" fontId="3" fillId="2" borderId="42" xfId="0" applyFont="1" applyFill="1" applyBorder="1" applyAlignment="1" applyProtection="1">
      <alignment horizontal="center"/>
      <protection hidden="1"/>
    </xf>
    <xf numFmtId="3" fontId="6" fillId="4" borderId="0" xfId="0" applyNumberFormat="1" applyFont="1" applyFill="1" applyBorder="1" applyProtection="1">
      <protection hidden="1"/>
    </xf>
    <xf numFmtId="0" fontId="3" fillId="2" borderId="1" xfId="0" applyFont="1" applyFill="1" applyBorder="1" applyAlignment="1" applyProtection="1">
      <alignment wrapText="1"/>
      <protection hidden="1"/>
    </xf>
    <xf numFmtId="41" fontId="3" fillId="2" borderId="1" xfId="0" applyNumberFormat="1" applyFont="1" applyFill="1" applyBorder="1" applyAlignment="1" applyProtection="1">
      <alignment vertical="center"/>
      <protection hidden="1"/>
    </xf>
    <xf numFmtId="0" fontId="3" fillId="0" borderId="52" xfId="0" applyFont="1" applyBorder="1" applyAlignment="1" applyProtection="1">
      <alignment horizontal="left" indent="1"/>
      <protection hidden="1"/>
    </xf>
    <xf numFmtId="0" fontId="3" fillId="0" borderId="53" xfId="0" applyFont="1" applyBorder="1" applyAlignment="1" applyProtection="1">
      <protection hidden="1"/>
    </xf>
    <xf numFmtId="0" fontId="3" fillId="4" borderId="45" xfId="0" applyFont="1" applyFill="1" applyBorder="1" applyProtection="1">
      <protection hidden="1"/>
    </xf>
    <xf numFmtId="0" fontId="3" fillId="0" borderId="0" xfId="0" applyFont="1" applyAlignment="1" applyProtection="1">
      <alignment wrapText="1"/>
      <protection hidden="1"/>
    </xf>
    <xf numFmtId="43" fontId="3" fillId="0" borderId="0" xfId="0" applyNumberFormat="1" applyFont="1" applyProtection="1">
      <protection hidden="1"/>
    </xf>
    <xf numFmtId="0" fontId="3" fillId="0" borderId="0" xfId="0" applyFont="1" applyProtection="1">
      <protection hidden="1"/>
    </xf>
    <xf numFmtId="0" fontId="3" fillId="4" borderId="0" xfId="0" applyFont="1" applyFill="1" applyBorder="1" applyAlignment="1" applyProtection="1">
      <alignment horizontal="left" vertical="center" wrapText="1"/>
      <protection hidden="1"/>
    </xf>
    <xf numFmtId="0" fontId="17" fillId="0" borderId="1" xfId="0" applyFont="1" applyFill="1" applyBorder="1" applyAlignment="1" applyProtection="1">
      <alignment horizontal="left"/>
      <protection locked="0"/>
    </xf>
    <xf numFmtId="0" fontId="17" fillId="4" borderId="0" xfId="0" applyFont="1" applyFill="1" applyBorder="1" applyAlignment="1" applyProtection="1">
      <alignment horizontal="left"/>
      <protection hidden="1"/>
    </xf>
    <xf numFmtId="0" fontId="3" fillId="0" borderId="0" xfId="0" applyFont="1" applyAlignment="1" applyProtection="1">
      <alignment horizontal="right" vertical="center"/>
      <protection hidden="1"/>
    </xf>
    <xf numFmtId="0" fontId="3" fillId="4" borderId="0" xfId="0" applyFont="1" applyFill="1" applyAlignment="1" applyProtection="1">
      <alignment horizontal="left" wrapText="1"/>
      <protection hidden="1"/>
    </xf>
    <xf numFmtId="0" fontId="3" fillId="4" borderId="0" xfId="0" applyFont="1" applyFill="1" applyAlignment="1" applyProtection="1">
      <alignment horizontal="right" vertical="center"/>
      <protection hidden="1"/>
    </xf>
    <xf numFmtId="0" fontId="15" fillId="4" borderId="0" xfId="0" applyFont="1" applyFill="1" applyProtection="1">
      <protection hidden="1"/>
    </xf>
    <xf numFmtId="0" fontId="6" fillId="4" borderId="47" xfId="0" applyFont="1" applyFill="1" applyBorder="1" applyAlignment="1" applyProtection="1">
      <alignment horizontal="center" vertical="center"/>
      <protection hidden="1"/>
    </xf>
    <xf numFmtId="10" fontId="15" fillId="0" borderId="0" xfId="0" applyNumberFormat="1" applyFont="1" applyProtection="1">
      <protection hidden="1"/>
    </xf>
    <xf numFmtId="0" fontId="17" fillId="0" borderId="1" xfId="0" applyFont="1" applyFill="1" applyBorder="1" applyAlignment="1" applyProtection="1">
      <protection locked="0"/>
    </xf>
    <xf numFmtId="9" fontId="3" fillId="4" borderId="0" xfId="0" applyNumberFormat="1" applyFont="1" applyFill="1" applyAlignment="1" applyProtection="1">
      <alignment vertical="center" wrapText="1"/>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protection hidden="1"/>
    </xf>
    <xf numFmtId="0" fontId="21" fillId="3" borderId="0" xfId="0" applyFont="1" applyFill="1" applyBorder="1" applyProtection="1">
      <protection hidden="1"/>
    </xf>
    <xf numFmtId="0" fontId="3" fillId="4" borderId="0" xfId="0" applyFont="1" applyFill="1" applyProtection="1">
      <protection locked="0"/>
    </xf>
    <xf numFmtId="0" fontId="3" fillId="0" borderId="0" xfId="0" applyFont="1" applyFill="1" applyProtection="1">
      <protection locked="0"/>
    </xf>
    <xf numFmtId="0" fontId="15" fillId="4" borderId="0" xfId="0" applyFont="1" applyFill="1" applyBorder="1" applyProtection="1">
      <protection hidden="1"/>
    </xf>
    <xf numFmtId="0" fontId="15" fillId="4" borderId="0" xfId="0" applyFont="1" applyFill="1" applyBorder="1" applyAlignment="1" applyProtection="1">
      <alignment horizontal="left" wrapText="1"/>
      <protection hidden="1"/>
    </xf>
    <xf numFmtId="14" fontId="15" fillId="4" borderId="0" xfId="0" applyNumberFormat="1" applyFont="1" applyFill="1" applyBorder="1" applyAlignment="1" applyProtection="1">
      <alignment horizontal="left" vertical="top" wrapText="1"/>
      <protection hidden="1"/>
    </xf>
    <xf numFmtId="0" fontId="15" fillId="4" borderId="0" xfId="0" applyFont="1" applyFill="1" applyBorder="1" applyAlignment="1" applyProtection="1">
      <alignment vertical="top" wrapText="1"/>
      <protection hidden="1"/>
    </xf>
    <xf numFmtId="0" fontId="15" fillId="0" borderId="0" xfId="0" applyFont="1" applyBorder="1" applyProtection="1">
      <protection hidden="1"/>
    </xf>
    <xf numFmtId="0" fontId="15" fillId="4" borderId="0" xfId="0" applyFont="1" applyFill="1" applyBorder="1" applyAlignment="1" applyProtection="1">
      <alignment horizontal="center" vertical="center" wrapText="1"/>
      <protection hidden="1"/>
    </xf>
    <xf numFmtId="0" fontId="15" fillId="4" borderId="47" xfId="0" applyFont="1" applyFill="1" applyBorder="1" applyAlignment="1" applyProtection="1">
      <alignment horizontal="center" vertical="center" wrapText="1"/>
      <protection hidden="1"/>
    </xf>
    <xf numFmtId="165" fontId="24" fillId="4" borderId="0" xfId="1" applyNumberFormat="1" applyFont="1" applyFill="1" applyBorder="1" applyProtection="1">
      <protection hidden="1"/>
    </xf>
    <xf numFmtId="4" fontId="15" fillId="4" borderId="0" xfId="1" applyNumberFormat="1" applyFont="1" applyFill="1" applyBorder="1" applyProtection="1">
      <protection hidden="1"/>
    </xf>
    <xf numFmtId="0" fontId="3" fillId="4" borderId="58" xfId="2" applyFont="1" applyFill="1" applyBorder="1" applyAlignment="1" applyProtection="1">
      <alignment horizontal="left" vertical="center" indent="1"/>
      <protection hidden="1"/>
    </xf>
    <xf numFmtId="0" fontId="3" fillId="6" borderId="59" xfId="2" applyFont="1" applyBorder="1" applyAlignment="1" applyProtection="1">
      <alignment horizontal="left" vertical="center" indent="1"/>
      <protection locked="0"/>
    </xf>
    <xf numFmtId="0" fontId="3" fillId="0" borderId="0" xfId="0" applyFont="1" applyProtection="1">
      <protection hidden="1"/>
    </xf>
    <xf numFmtId="0" fontId="17" fillId="4" borderId="0" xfId="0" applyFont="1" applyFill="1" applyBorder="1" applyAlignment="1" applyProtection="1">
      <alignment horizontal="left"/>
      <protection hidden="1"/>
    </xf>
    <xf numFmtId="0" fontId="21" fillId="4" borderId="0" xfId="0" applyFont="1" applyFill="1" applyBorder="1" applyProtection="1">
      <protection hidden="1"/>
    </xf>
    <xf numFmtId="43" fontId="3" fillId="3" borderId="1" xfId="0" applyNumberFormat="1" applyFont="1" applyFill="1" applyBorder="1" applyProtection="1">
      <protection hidden="1"/>
    </xf>
    <xf numFmtId="43" fontId="3" fillId="3" borderId="1" xfId="0" applyNumberFormat="1" applyFont="1" applyFill="1" applyBorder="1" applyAlignment="1" applyProtection="1">
      <alignment horizontal="right" indent="1"/>
      <protection hidden="1"/>
    </xf>
    <xf numFmtId="10" fontId="25" fillId="8" borderId="20" xfId="3" applyNumberFormat="1" applyBorder="1" applyProtection="1">
      <protection hidden="1"/>
    </xf>
    <xf numFmtId="0" fontId="3" fillId="0" borderId="60" xfId="0" applyFont="1" applyBorder="1" applyAlignment="1" applyProtection="1">
      <alignment wrapText="1"/>
      <protection hidden="1"/>
    </xf>
    <xf numFmtId="44" fontId="3" fillId="0" borderId="61" xfId="0" applyNumberFormat="1" applyFont="1" applyBorder="1" applyProtection="1">
      <protection hidden="1"/>
    </xf>
    <xf numFmtId="44" fontId="3" fillId="0" borderId="61" xfId="0" applyNumberFormat="1" applyFont="1" applyBorder="1" applyAlignment="1" applyProtection="1">
      <alignment vertical="center"/>
      <protection hidden="1"/>
    </xf>
    <xf numFmtId="43" fontId="3" fillId="0" borderId="60" xfId="0" applyNumberFormat="1" applyFont="1" applyBorder="1" applyAlignment="1" applyProtection="1">
      <alignment wrapText="1"/>
      <protection hidden="1"/>
    </xf>
    <xf numFmtId="0" fontId="6" fillId="0" borderId="0" xfId="0" applyFont="1" applyAlignment="1" applyProtection="1">
      <alignment wrapText="1"/>
      <protection hidden="1"/>
    </xf>
    <xf numFmtId="9" fontId="3" fillId="4" borderId="0" xfId="0" applyNumberFormat="1" applyFont="1" applyFill="1" applyProtection="1">
      <protection locked="0"/>
    </xf>
    <xf numFmtId="2" fontId="9" fillId="7" borderId="18" xfId="2" applyNumberFormat="1" applyFont="1" applyFill="1" applyAlignment="1" applyProtection="1">
      <alignment horizontal="right"/>
      <protection hidden="1"/>
    </xf>
    <xf numFmtId="10" fontId="6" fillId="4" borderId="0" xfId="0" applyNumberFormat="1" applyFont="1" applyFill="1" applyProtection="1">
      <protection hidden="1"/>
    </xf>
    <xf numFmtId="0" fontId="4" fillId="0" borderId="1" xfId="0" applyFont="1" applyBorder="1" applyProtection="1">
      <protection hidden="1"/>
    </xf>
    <xf numFmtId="0" fontId="4" fillId="0" borderId="1" xfId="0" applyFont="1" applyBorder="1" applyAlignment="1" applyProtection="1">
      <alignment wrapText="1"/>
      <protection hidden="1"/>
    </xf>
    <xf numFmtId="165" fontId="4" fillId="0" borderId="1" xfId="0" applyNumberFormat="1" applyFont="1" applyBorder="1" applyProtection="1">
      <protection hidden="1"/>
    </xf>
    <xf numFmtId="0" fontId="3" fillId="0" borderId="1" xfId="0" applyFont="1" applyBorder="1" applyAlignment="1" applyProtection="1">
      <alignment vertical="center"/>
      <protection locked="0"/>
    </xf>
    <xf numFmtId="0" fontId="3" fillId="0" borderId="1" xfId="0" applyFont="1" applyBorder="1" applyProtection="1">
      <protection locked="0"/>
    </xf>
    <xf numFmtId="0" fontId="3" fillId="0" borderId="1" xfId="0" applyFont="1" applyBorder="1" applyProtection="1">
      <protection hidden="1"/>
    </xf>
    <xf numFmtId="165" fontId="3" fillId="0" borderId="1" xfId="0" applyNumberFormat="1" applyFont="1" applyBorder="1" applyProtection="1">
      <protection hidden="1"/>
    </xf>
    <xf numFmtId="4" fontId="8" fillId="0" borderId="1" xfId="1" applyNumberFormat="1" applyFont="1" applyFill="1" applyBorder="1"/>
    <xf numFmtId="0" fontId="4" fillId="0" borderId="1" xfId="0" applyFont="1" applyBorder="1" applyAlignment="1" applyProtection="1">
      <alignment horizontal="right"/>
      <protection hidden="1"/>
    </xf>
    <xf numFmtId="4" fontId="3" fillId="0" borderId="1" xfId="0" applyNumberFormat="1" applyFont="1" applyBorder="1" applyProtection="1">
      <protection hidden="1"/>
    </xf>
    <xf numFmtId="0" fontId="3" fillId="0" borderId="38" xfId="0" applyFont="1" applyBorder="1" applyAlignment="1" applyProtection="1">
      <protection hidden="1"/>
    </xf>
    <xf numFmtId="0" fontId="3" fillId="0" borderId="38" xfId="0" applyFont="1" applyBorder="1" applyProtection="1">
      <protection locked="0"/>
    </xf>
    <xf numFmtId="0" fontId="8" fillId="0" borderId="1" xfId="0" applyFont="1" applyFill="1" applyBorder="1" applyAlignment="1" applyProtection="1">
      <protection locked="0"/>
    </xf>
    <xf numFmtId="0" fontId="3" fillId="0" borderId="1" xfId="0" applyNumberFormat="1" applyFont="1" applyBorder="1" applyProtection="1">
      <protection hidden="1"/>
    </xf>
    <xf numFmtId="9" fontId="8" fillId="0" borderId="1" xfId="0" applyNumberFormat="1" applyFont="1" applyFill="1" applyBorder="1" applyProtection="1">
      <protection locked="0"/>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wrapText="1"/>
      <protection hidden="1"/>
    </xf>
    <xf numFmtId="0" fontId="4" fillId="0" borderId="11"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wrapText="1"/>
      <protection hidden="1"/>
    </xf>
    <xf numFmtId="0" fontId="3" fillId="0" borderId="11" xfId="0" applyFont="1" applyFill="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15" xfId="0" applyFont="1" applyBorder="1" applyAlignment="1" applyProtection="1">
      <alignment horizontal="center" vertical="center"/>
      <protection hidden="1"/>
    </xf>
    <xf numFmtId="4" fontId="9" fillId="5" borderId="64" xfId="1" applyNumberFormat="1" applyFont="1" applyBorder="1" applyProtection="1">
      <protection hidden="1"/>
    </xf>
    <xf numFmtId="4" fontId="9" fillId="5" borderId="63" xfId="1" applyNumberFormat="1" applyFont="1" applyBorder="1" applyProtection="1">
      <protection hidden="1"/>
    </xf>
    <xf numFmtId="4" fontId="8" fillId="5" borderId="65" xfId="1" applyNumberFormat="1" applyFont="1" applyBorder="1" applyProtection="1">
      <protection hidden="1"/>
    </xf>
    <xf numFmtId="4" fontId="8" fillId="5" borderId="66" xfId="1" applyNumberFormat="1" applyFont="1" applyBorder="1" applyProtection="1">
      <protection hidden="1"/>
    </xf>
    <xf numFmtId="10" fontId="3" fillId="4" borderId="0" xfId="0" applyNumberFormat="1" applyFont="1" applyFill="1" applyProtection="1">
      <protection hidden="1"/>
    </xf>
    <xf numFmtId="0" fontId="6" fillId="4" borderId="0" xfId="0" applyFont="1" applyFill="1" applyAlignment="1" applyProtection="1">
      <alignment horizontal="right"/>
      <protection hidden="1"/>
    </xf>
    <xf numFmtId="0" fontId="4" fillId="3" borderId="0" xfId="0" applyFont="1" applyFill="1" applyAlignment="1" applyProtection="1">
      <alignment horizontal="right"/>
      <protection hidden="1"/>
    </xf>
    <xf numFmtId="0" fontId="4" fillId="4" borderId="0" xfId="0" applyFont="1" applyFill="1" applyProtection="1">
      <protection hidden="1"/>
    </xf>
    <xf numFmtId="43" fontId="27" fillId="4" borderId="0" xfId="0" applyNumberFormat="1" applyFont="1" applyFill="1" applyBorder="1" applyProtection="1">
      <protection hidden="1"/>
    </xf>
    <xf numFmtId="41" fontId="27" fillId="4" borderId="0" xfId="0" applyNumberFormat="1" applyFont="1" applyFill="1" applyProtection="1">
      <protection hidden="1"/>
    </xf>
    <xf numFmtId="0" fontId="28" fillId="4" borderId="0" xfId="0" applyFont="1" applyFill="1" applyProtection="1">
      <protection hidden="1"/>
    </xf>
    <xf numFmtId="0" fontId="28" fillId="0" borderId="0" xfId="0" applyFont="1" applyProtection="1">
      <protection hidden="1"/>
    </xf>
    <xf numFmtId="41" fontId="9" fillId="3" borderId="1" xfId="0" applyNumberFormat="1" applyFont="1" applyFill="1" applyBorder="1" applyProtection="1">
      <protection hidden="1"/>
    </xf>
    <xf numFmtId="0" fontId="3" fillId="2" borderId="44" xfId="0" applyFont="1" applyFill="1" applyBorder="1" applyAlignment="1" applyProtection="1">
      <alignment horizontal="center" wrapText="1"/>
      <protection hidden="1"/>
    </xf>
    <xf numFmtId="41" fontId="6" fillId="4" borderId="0" xfId="2" applyNumberFormat="1" applyFont="1" applyFill="1" applyBorder="1" applyProtection="1">
      <protection hidden="1"/>
    </xf>
    <xf numFmtId="41" fontId="7" fillId="2" borderId="1" xfId="0" applyNumberFormat="1" applyFont="1" applyFill="1" applyBorder="1" applyAlignment="1" applyProtection="1">
      <alignment vertical="center" wrapText="1"/>
      <protection hidden="1"/>
    </xf>
    <xf numFmtId="41" fontId="33" fillId="2" borderId="1" xfId="0" applyNumberFormat="1" applyFont="1" applyFill="1" applyBorder="1" applyAlignment="1" applyProtection="1">
      <alignment vertical="center" wrapText="1"/>
      <protection hidden="1"/>
    </xf>
    <xf numFmtId="0" fontId="7" fillId="4"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center" wrapText="1" indent="4"/>
      <protection hidden="1"/>
    </xf>
    <xf numFmtId="0" fontId="3" fillId="2" borderId="38" xfId="0" applyFont="1" applyFill="1" applyBorder="1" applyAlignment="1" applyProtection="1">
      <alignment horizontal="center"/>
      <protection hidden="1"/>
    </xf>
    <xf numFmtId="0" fontId="33" fillId="2" borderId="38" xfId="0" applyFont="1" applyFill="1" applyBorder="1" applyAlignment="1" applyProtection="1">
      <alignment horizontal="center" vertical="center" wrapText="1"/>
      <protection hidden="1"/>
    </xf>
    <xf numFmtId="0" fontId="3" fillId="0" borderId="1" xfId="0" applyFont="1" applyFill="1" applyBorder="1" applyProtection="1">
      <protection hidden="1"/>
    </xf>
    <xf numFmtId="0" fontId="4" fillId="2" borderId="0" xfId="0" applyFont="1" applyFill="1" applyProtection="1">
      <protection hidden="1"/>
    </xf>
    <xf numFmtId="0" fontId="4" fillId="2" borderId="1" xfId="0" applyFont="1" applyFill="1" applyBorder="1" applyAlignment="1" applyProtection="1">
      <alignment wrapText="1"/>
      <protection hidden="1"/>
    </xf>
    <xf numFmtId="0" fontId="4" fillId="4" borderId="0" xfId="0" applyFont="1" applyFill="1" applyAlignment="1" applyProtection="1">
      <alignment horizontal="right"/>
      <protection hidden="1"/>
    </xf>
    <xf numFmtId="4" fontId="4" fillId="4" borderId="0" xfId="0" applyNumberFormat="1" applyFont="1" applyFill="1" applyBorder="1" applyAlignment="1" applyProtection="1">
      <alignment horizontal="left" indent="4"/>
      <protection hidden="1"/>
    </xf>
    <xf numFmtId="0" fontId="4" fillId="4" borderId="0" xfId="0" applyFont="1" applyFill="1" applyBorder="1" applyAlignment="1" applyProtection="1">
      <alignment horizontal="left" indent="4"/>
      <protection hidden="1"/>
    </xf>
    <xf numFmtId="4" fontId="4" fillId="4" borderId="0" xfId="0" applyNumberFormat="1" applyFont="1" applyFill="1" applyAlignment="1" applyProtection="1">
      <alignment horizontal="left" indent="5"/>
      <protection hidden="1"/>
    </xf>
    <xf numFmtId="0" fontId="4" fillId="3" borderId="14" xfId="0" applyFont="1" applyFill="1" applyBorder="1" applyProtection="1">
      <protection hidden="1"/>
    </xf>
    <xf numFmtId="0" fontId="35" fillId="3" borderId="14" xfId="0" applyFont="1" applyFill="1" applyBorder="1" applyProtection="1">
      <protection hidden="1"/>
    </xf>
    <xf numFmtId="0" fontId="27" fillId="4" borderId="45" xfId="0" applyFont="1" applyFill="1" applyBorder="1" applyProtection="1">
      <protection hidden="1"/>
    </xf>
    <xf numFmtId="0" fontId="4" fillId="6" borderId="54" xfId="2" applyFont="1" applyBorder="1" applyAlignment="1" applyProtection="1">
      <alignment horizontal="center"/>
      <protection hidden="1"/>
    </xf>
    <xf numFmtId="0" fontId="4" fillId="6" borderId="1" xfId="2" applyFont="1" applyBorder="1" applyAlignment="1" applyProtection="1">
      <alignment horizontal="center" vertical="center"/>
      <protection hidden="1"/>
    </xf>
    <xf numFmtId="0" fontId="4" fillId="6" borderId="1" xfId="2" applyFont="1" applyBorder="1" applyAlignment="1" applyProtection="1">
      <alignment horizontal="center"/>
      <protection hidden="1"/>
    </xf>
    <xf numFmtId="0" fontId="4" fillId="6" borderId="1" xfId="2" applyFont="1" applyBorder="1" applyAlignment="1" applyProtection="1">
      <alignment horizontal="center"/>
      <protection locked="0"/>
    </xf>
    <xf numFmtId="0" fontId="28" fillId="3" borderId="0" xfId="0" applyFont="1" applyFill="1" applyBorder="1" applyProtection="1">
      <protection hidden="1"/>
    </xf>
    <xf numFmtId="164" fontId="6" fillId="4" borderId="0" xfId="0" applyNumberFormat="1" applyFont="1" applyFill="1" applyProtection="1">
      <protection hidden="1"/>
    </xf>
    <xf numFmtId="164" fontId="27" fillId="4" borderId="0" xfId="0" applyNumberFormat="1" applyFont="1" applyFill="1" applyProtection="1">
      <protection hidden="1"/>
    </xf>
    <xf numFmtId="164" fontId="6" fillId="0" borderId="0" xfId="0" applyNumberFormat="1" applyFont="1" applyProtection="1">
      <protection hidden="1"/>
    </xf>
    <xf numFmtId="43" fontId="3" fillId="2" borderId="1" xfId="0" applyNumberFormat="1" applyFont="1" applyFill="1" applyBorder="1" applyAlignment="1" applyProtection="1">
      <protection hidden="1"/>
    </xf>
    <xf numFmtId="0" fontId="4" fillId="4" borderId="0" xfId="0" applyFont="1" applyFill="1" applyAlignment="1" applyProtection="1">
      <protection hidden="1"/>
    </xf>
    <xf numFmtId="0" fontId="36" fillId="4" borderId="0" xfId="0" applyFont="1" applyFill="1" applyProtection="1">
      <protection hidden="1"/>
    </xf>
    <xf numFmtId="43" fontId="3" fillId="0" borderId="1" xfId="0" applyNumberFormat="1" applyFont="1" applyBorder="1" applyAlignment="1" applyProtection="1">
      <protection hidden="1"/>
    </xf>
    <xf numFmtId="4" fontId="3" fillId="6" borderId="18" xfId="2" applyNumberFormat="1" applyFont="1" applyProtection="1">
      <protection locked="0"/>
    </xf>
    <xf numFmtId="165" fontId="3" fillId="6" borderId="18" xfId="2" applyNumberFormat="1" applyFont="1" applyProtection="1">
      <protection locked="0"/>
    </xf>
    <xf numFmtId="4" fontId="4" fillId="3" borderId="0" xfId="0" applyNumberFormat="1" applyFont="1" applyFill="1" applyAlignment="1" applyProtection="1">
      <alignment horizontal="center"/>
      <protection hidden="1"/>
    </xf>
    <xf numFmtId="0" fontId="6" fillId="0" borderId="0" xfId="0" applyFont="1" applyProtection="1">
      <protection hidden="1"/>
    </xf>
    <xf numFmtId="0" fontId="0" fillId="2" borderId="0" xfId="0" applyFill="1" applyProtection="1">
      <protection hidden="1"/>
    </xf>
    <xf numFmtId="0" fontId="23" fillId="2" borderId="1" xfId="0" applyFont="1" applyFill="1" applyBorder="1" applyProtection="1">
      <protection hidden="1"/>
    </xf>
    <xf numFmtId="0" fontId="23" fillId="2" borderId="1" xfId="0" applyFont="1" applyFill="1" applyBorder="1" applyAlignment="1" applyProtection="1">
      <alignment wrapText="1"/>
      <protection hidden="1"/>
    </xf>
    <xf numFmtId="0" fontId="0" fillId="6" borderId="67" xfId="2" applyFont="1" applyBorder="1" applyProtection="1">
      <protection locked="0"/>
    </xf>
    <xf numFmtId="4" fontId="0" fillId="6" borderId="67" xfId="2" applyNumberFormat="1" applyFont="1" applyBorder="1" applyProtection="1">
      <protection locked="0"/>
    </xf>
    <xf numFmtId="0" fontId="15" fillId="9" borderId="1" xfId="4" applyFont="1" applyBorder="1" applyAlignment="1" applyProtection="1">
      <alignment horizontal="left" wrapText="1" indent="1"/>
      <protection hidden="1"/>
    </xf>
    <xf numFmtId="0" fontId="15" fillId="9" borderId="1" xfId="4" applyFont="1" applyBorder="1" applyProtection="1">
      <protection hidden="1"/>
    </xf>
    <xf numFmtId="0" fontId="15" fillId="9" borderId="1" xfId="4" applyFont="1" applyBorder="1" applyAlignment="1" applyProtection="1">
      <alignment wrapText="1"/>
      <protection hidden="1"/>
    </xf>
    <xf numFmtId="10" fontId="15" fillId="9" borderId="1" xfId="4" applyNumberFormat="1" applyFont="1" applyBorder="1" applyAlignment="1" applyProtection="1">
      <protection hidden="1"/>
    </xf>
    <xf numFmtId="4" fontId="15" fillId="9" borderId="1" xfId="4" applyNumberFormat="1" applyFont="1" applyBorder="1" applyAlignment="1" applyProtection="1">
      <alignment horizontal="left" indent="5"/>
      <protection hidden="1"/>
    </xf>
    <xf numFmtId="14" fontId="15" fillId="9" borderId="35" xfId="4" applyNumberFormat="1" applyFont="1" applyBorder="1" applyAlignment="1" applyProtection="1">
      <alignment horizontal="left"/>
      <protection hidden="1"/>
    </xf>
    <xf numFmtId="4" fontId="15" fillId="9" borderId="1" xfId="4" applyNumberFormat="1" applyFont="1" applyBorder="1" applyAlignment="1" applyProtection="1">
      <protection hidden="1"/>
    </xf>
    <xf numFmtId="0" fontId="38" fillId="9" borderId="0" xfId="4" applyFont="1" applyAlignment="1" applyProtection="1">
      <alignment wrapText="1"/>
      <protection hidden="1"/>
    </xf>
    <xf numFmtId="0" fontId="23" fillId="2" borderId="39" xfId="0" applyFont="1" applyFill="1" applyBorder="1" applyAlignment="1" applyProtection="1">
      <alignment wrapText="1"/>
      <protection hidden="1"/>
    </xf>
    <xf numFmtId="0" fontId="23" fillId="2" borderId="42" xfId="0" applyFont="1" applyFill="1" applyBorder="1" applyAlignment="1" applyProtection="1">
      <alignment horizontal="center"/>
      <protection hidden="1"/>
    </xf>
    <xf numFmtId="0" fontId="23" fillId="2" borderId="42" xfId="0" applyFont="1" applyFill="1" applyBorder="1" applyAlignment="1" applyProtection="1">
      <alignment wrapText="1"/>
      <protection hidden="1"/>
    </xf>
    <xf numFmtId="0" fontId="0" fillId="2" borderId="0" xfId="0" applyFill="1" applyBorder="1" applyAlignment="1" applyProtection="1">
      <alignment horizontal="left" wrapText="1"/>
      <protection hidden="1"/>
    </xf>
    <xf numFmtId="0" fontId="0" fillId="6" borderId="1" xfId="2" applyFont="1" applyBorder="1" applyAlignment="1" applyProtection="1">
      <alignment horizontal="left"/>
      <protection locked="0"/>
    </xf>
    <xf numFmtId="3" fontId="0" fillId="6" borderId="22" xfId="2" applyNumberFormat="1" applyFont="1" applyBorder="1" applyProtection="1">
      <protection locked="0"/>
    </xf>
    <xf numFmtId="0" fontId="0" fillId="0" borderId="1" xfId="0" applyBorder="1"/>
    <xf numFmtId="0" fontId="0" fillId="2" borderId="0" xfId="0" applyFill="1" applyBorder="1" applyProtection="1">
      <protection hidden="1"/>
    </xf>
    <xf numFmtId="10" fontId="39" fillId="10" borderId="69" xfId="5" applyNumberFormat="1" applyBorder="1" applyProtection="1">
      <protection hidden="1"/>
    </xf>
    <xf numFmtId="0" fontId="0" fillId="2" borderId="0" xfId="0" applyFill="1"/>
    <xf numFmtId="0" fontId="0" fillId="2" borderId="2" xfId="0" applyFill="1" applyBorder="1" applyProtection="1">
      <protection hidden="1"/>
    </xf>
    <xf numFmtId="0" fontId="0" fillId="2" borderId="11" xfId="0" applyFill="1" applyBorder="1" applyProtection="1">
      <protection hidden="1"/>
    </xf>
    <xf numFmtId="0" fontId="0" fillId="2" borderId="15" xfId="0" applyFill="1" applyBorder="1"/>
    <xf numFmtId="0" fontId="0" fillId="2" borderId="32" xfId="0" applyFill="1" applyBorder="1" applyProtection="1">
      <protection hidden="1"/>
    </xf>
    <xf numFmtId="0" fontId="0" fillId="2" borderId="33" xfId="0" applyFill="1" applyBorder="1"/>
    <xf numFmtId="0" fontId="23" fillId="6" borderId="18" xfId="2" applyFont="1" applyBorder="1" applyProtection="1">
      <protection locked="0"/>
    </xf>
    <xf numFmtId="0" fontId="39" fillId="10" borderId="68" xfId="5" applyBorder="1" applyProtection="1">
      <protection hidden="1"/>
    </xf>
    <xf numFmtId="10" fontId="39" fillId="10" borderId="68" xfId="5" applyNumberFormat="1" applyBorder="1" applyProtection="1">
      <protection hidden="1"/>
    </xf>
    <xf numFmtId="0" fontId="0" fillId="6" borderId="18" xfId="2" applyFont="1" applyBorder="1" applyProtection="1">
      <protection locked="0"/>
    </xf>
    <xf numFmtId="0" fontId="0" fillId="2" borderId="4" xfId="0" applyFill="1" applyBorder="1" applyProtection="1">
      <protection hidden="1"/>
    </xf>
    <xf numFmtId="0" fontId="0" fillId="2" borderId="12" xfId="0" applyFill="1" applyBorder="1" applyProtection="1">
      <protection hidden="1"/>
    </xf>
    <xf numFmtId="0" fontId="0" fillId="2" borderId="70" xfId="0" applyFill="1" applyBorder="1"/>
    <xf numFmtId="0" fontId="0" fillId="2" borderId="2" xfId="0" applyFill="1" applyBorder="1" applyAlignment="1" applyProtection="1">
      <protection hidden="1"/>
    </xf>
    <xf numFmtId="0" fontId="41" fillId="2" borderId="11" xfId="0" applyFont="1" applyFill="1" applyBorder="1" applyAlignment="1" applyProtection="1">
      <protection hidden="1"/>
    </xf>
    <xf numFmtId="0" fontId="0" fillId="2" borderId="11" xfId="0" applyFill="1" applyBorder="1" applyAlignment="1" applyProtection="1">
      <protection hidden="1"/>
    </xf>
    <xf numFmtId="0" fontId="23" fillId="2" borderId="11" xfId="0" applyFont="1" applyFill="1" applyBorder="1" applyAlignment="1" applyProtection="1">
      <alignment wrapText="1"/>
      <protection hidden="1"/>
    </xf>
    <xf numFmtId="0" fontId="23" fillId="2" borderId="15" xfId="0" applyFont="1" applyFill="1" applyBorder="1" applyAlignment="1" applyProtection="1">
      <alignment horizontal="center" wrapText="1"/>
      <protection hidden="1"/>
    </xf>
    <xf numFmtId="0" fontId="23" fillId="2" borderId="33" xfId="0" applyFont="1" applyFill="1" applyBorder="1" applyAlignment="1" applyProtection="1">
      <alignment horizontal="center" wrapText="1"/>
      <protection hidden="1"/>
    </xf>
    <xf numFmtId="0" fontId="0" fillId="2" borderId="33" xfId="0" applyFill="1" applyBorder="1" applyAlignment="1" applyProtection="1">
      <alignment horizontal="center"/>
      <protection hidden="1"/>
    </xf>
    <xf numFmtId="0" fontId="0" fillId="2" borderId="33" xfId="0" applyFill="1" applyBorder="1" applyProtection="1">
      <protection hidden="1"/>
    </xf>
    <xf numFmtId="0" fontId="0" fillId="2" borderId="70" xfId="0" applyFill="1" applyBorder="1" applyProtection="1">
      <protection hidden="1"/>
    </xf>
    <xf numFmtId="0" fontId="0" fillId="2" borderId="0" xfId="0" applyFill="1" applyBorder="1"/>
    <xf numFmtId="0" fontId="0" fillId="2" borderId="15" xfId="0" applyFill="1" applyBorder="1" applyProtection="1">
      <protection hidden="1"/>
    </xf>
    <xf numFmtId="4" fontId="0" fillId="6" borderId="18" xfId="2" applyNumberFormat="1" applyFont="1" applyBorder="1" applyProtection="1">
      <protection locked="0"/>
    </xf>
    <xf numFmtId="0" fontId="0" fillId="2" borderId="0" xfId="0" applyFill="1" applyBorder="1" applyProtection="1">
      <protection locked="0"/>
    </xf>
    <xf numFmtId="0" fontId="0" fillId="2" borderId="12" xfId="0" applyFill="1" applyBorder="1" applyProtection="1">
      <protection locked="0"/>
    </xf>
    <xf numFmtId="0" fontId="0" fillId="2" borderId="40" xfId="0" applyFill="1" applyBorder="1" applyProtection="1">
      <protection hidden="1"/>
    </xf>
    <xf numFmtId="0" fontId="0" fillId="0" borderId="44" xfId="0" applyBorder="1" applyProtection="1">
      <protection locked="0"/>
    </xf>
    <xf numFmtId="0" fontId="0" fillId="0" borderId="0" xfId="0" applyBorder="1" applyProtection="1">
      <protection locked="0"/>
    </xf>
    <xf numFmtId="0" fontId="0" fillId="0" borderId="50" xfId="0" applyBorder="1" applyProtection="1">
      <protection locked="0"/>
    </xf>
    <xf numFmtId="0" fontId="0" fillId="0" borderId="39" xfId="0" applyBorder="1" applyProtection="1">
      <protection locked="0"/>
    </xf>
    <xf numFmtId="0" fontId="0" fillId="0" borderId="47" xfId="0" applyBorder="1" applyProtection="1">
      <protection locked="0"/>
    </xf>
    <xf numFmtId="0" fontId="0" fillId="0" borderId="49" xfId="0" applyBorder="1" applyProtection="1">
      <protection locked="0"/>
    </xf>
    <xf numFmtId="0" fontId="23" fillId="2" borderId="36" xfId="0" applyFont="1" applyFill="1" applyBorder="1" applyAlignment="1" applyProtection="1">
      <alignment horizontal="left" vertical="center" wrapText="1"/>
      <protection hidden="1"/>
    </xf>
    <xf numFmtId="4" fontId="39" fillId="10" borderId="69" xfId="5" applyNumberFormat="1" applyBorder="1" applyProtection="1">
      <protection hidden="1"/>
    </xf>
    <xf numFmtId="4" fontId="39" fillId="10" borderId="68" xfId="5" applyNumberFormat="1" applyProtection="1">
      <protection hidden="1"/>
    </xf>
    <xf numFmtId="4" fontId="0" fillId="0" borderId="0" xfId="0" applyNumberFormat="1" applyBorder="1" applyProtection="1">
      <protection locked="0"/>
    </xf>
    <xf numFmtId="0" fontId="23" fillId="2" borderId="36" xfId="0" applyFont="1" applyFill="1" applyBorder="1" applyAlignment="1" applyProtection="1">
      <protection hidden="1"/>
    </xf>
    <xf numFmtId="0" fontId="23" fillId="2" borderId="38" xfId="0" applyFont="1" applyFill="1" applyBorder="1" applyAlignment="1" applyProtection="1">
      <alignment horizontal="center"/>
      <protection hidden="1"/>
    </xf>
    <xf numFmtId="0" fontId="0" fillId="6" borderId="74" xfId="2" applyFont="1" applyBorder="1" applyAlignment="1" applyProtection="1">
      <alignment horizontal="center" vertical="center" wrapText="1"/>
      <protection locked="0"/>
    </xf>
    <xf numFmtId="4" fontId="39" fillId="10" borderId="68" xfId="5" applyNumberFormat="1" applyBorder="1" applyAlignment="1" applyProtection="1">
      <alignment horizontal="center"/>
      <protection hidden="1"/>
    </xf>
    <xf numFmtId="164" fontId="39" fillId="10" borderId="69" xfId="5" applyNumberFormat="1" applyBorder="1" applyAlignment="1" applyProtection="1">
      <alignment horizontal="center"/>
      <protection hidden="1"/>
    </xf>
    <xf numFmtId="43" fontId="44" fillId="0" borderId="1" xfId="0" applyNumberFormat="1" applyFont="1" applyBorder="1" applyProtection="1">
      <protection hidden="1"/>
    </xf>
    <xf numFmtId="43" fontId="3" fillId="0" borderId="0" xfId="0" applyNumberFormat="1" applyFont="1" applyProtection="1">
      <protection locked="0"/>
    </xf>
    <xf numFmtId="2" fontId="0" fillId="0" borderId="44" xfId="0" applyNumberFormat="1" applyBorder="1" applyProtection="1">
      <protection locked="0"/>
    </xf>
    <xf numFmtId="0" fontId="0" fillId="11" borderId="1" xfId="2" applyFont="1" applyFill="1" applyBorder="1" applyAlignment="1" applyProtection="1">
      <alignment horizontal="left"/>
      <protection locked="0"/>
    </xf>
    <xf numFmtId="2" fontId="0" fillId="0" borderId="0" xfId="0" applyNumberFormat="1" applyBorder="1" applyProtection="1">
      <protection locked="0"/>
    </xf>
    <xf numFmtId="41" fontId="3" fillId="0" borderId="1" xfId="0" applyNumberFormat="1" applyFont="1" applyBorder="1" applyProtection="1">
      <protection hidden="1"/>
    </xf>
    <xf numFmtId="43" fontId="3" fillId="0" borderId="1" xfId="0" applyNumberFormat="1" applyFont="1" applyBorder="1" applyProtection="1">
      <protection hidden="1"/>
    </xf>
    <xf numFmtId="164" fontId="37" fillId="9" borderId="1" xfId="4" applyNumberFormat="1" applyBorder="1" applyAlignment="1" applyProtection="1">
      <alignment horizontal="center"/>
      <protection hidden="1"/>
    </xf>
    <xf numFmtId="164" fontId="39" fillId="10" borderId="1" xfId="5" applyNumberFormat="1" applyBorder="1" applyAlignment="1" applyProtection="1">
      <alignment horizontal="center"/>
      <protection hidden="1"/>
    </xf>
    <xf numFmtId="164" fontId="15" fillId="9" borderId="35" xfId="4" applyNumberFormat="1" applyFont="1" applyBorder="1" applyAlignment="1" applyProtection="1">
      <alignment horizontal="center"/>
      <protection hidden="1"/>
    </xf>
    <xf numFmtId="164" fontId="39" fillId="10" borderId="68" xfId="5" applyNumberFormat="1" applyAlignment="1" applyProtection="1">
      <alignment horizontal="center"/>
      <protection hidden="1"/>
    </xf>
    <xf numFmtId="164" fontId="39" fillId="10" borderId="76" xfId="5" applyNumberFormat="1" applyBorder="1" applyAlignment="1" applyProtection="1">
      <alignment horizontal="center"/>
      <protection hidden="1"/>
    </xf>
    <xf numFmtId="0" fontId="37" fillId="9" borderId="1" xfId="4" applyBorder="1" applyAlignment="1" applyProtection="1">
      <alignment wrapText="1"/>
      <protection hidden="1"/>
    </xf>
    <xf numFmtId="0" fontId="5" fillId="6" borderId="18" xfId="2" applyFont="1" applyAlignment="1" applyProtection="1">
      <alignment horizontal="left"/>
      <protection locked="0"/>
    </xf>
    <xf numFmtId="0" fontId="5" fillId="6" borderId="18" xfId="2" applyFont="1" applyAlignment="1" applyProtection="1">
      <alignment horizontal="center"/>
      <protection locked="0"/>
    </xf>
    <xf numFmtId="0" fontId="3" fillId="6" borderId="27" xfId="2" applyFont="1" applyBorder="1" applyAlignment="1" applyProtection="1">
      <alignment horizontal="center" vertical="top" wrapText="1"/>
      <protection locked="0"/>
    </xf>
    <xf numFmtId="0" fontId="3" fillId="6" borderId="29" xfId="2" applyFont="1" applyBorder="1" applyAlignment="1" applyProtection="1">
      <alignment horizontal="center" vertical="top" wrapText="1"/>
      <protection locked="0"/>
    </xf>
    <xf numFmtId="4" fontId="3" fillId="0" borderId="0" xfId="0" applyNumberFormat="1" applyFont="1" applyProtection="1">
      <protection hidden="1"/>
    </xf>
    <xf numFmtId="3" fontId="3" fillId="0" borderId="0" xfId="0" applyNumberFormat="1" applyFont="1" applyProtection="1">
      <protection hidden="1"/>
    </xf>
    <xf numFmtId="4" fontId="5" fillId="6" borderId="18" xfId="2" applyNumberFormat="1" applyFont="1" applyAlignment="1" applyProtection="1">
      <alignment horizontal="right"/>
      <protection locked="0"/>
    </xf>
    <xf numFmtId="0" fontId="5" fillId="6" borderId="18" xfId="2" applyFont="1" applyAlignment="1" applyProtection="1">
      <alignment horizontal="center" wrapText="1"/>
      <protection locked="0"/>
    </xf>
    <xf numFmtId="165" fontId="5" fillId="6" borderId="18" xfId="2" applyNumberFormat="1" applyFont="1" applyProtection="1">
      <protection locked="0"/>
    </xf>
    <xf numFmtId="4" fontId="5" fillId="6" borderId="18" xfId="2" applyNumberFormat="1" applyFont="1" applyProtection="1">
      <protection locked="0"/>
    </xf>
    <xf numFmtId="0" fontId="28" fillId="0" borderId="0" xfId="0" applyFont="1" applyAlignment="1" applyProtection="1">
      <alignment vertical="center" wrapText="1"/>
      <protection hidden="1"/>
    </xf>
    <xf numFmtId="164" fontId="3" fillId="15" borderId="1" xfId="0" applyNumberFormat="1" applyFont="1" applyFill="1" applyBorder="1" applyAlignment="1" applyProtection="1">
      <alignment vertical="center" wrapText="1"/>
      <protection hidden="1"/>
    </xf>
    <xf numFmtId="10" fontId="3" fillId="13" borderId="1" xfId="0" applyNumberFormat="1" applyFont="1" applyFill="1" applyBorder="1" applyAlignment="1" applyProtection="1">
      <alignment vertical="center"/>
      <protection hidden="1"/>
    </xf>
    <xf numFmtId="10" fontId="3" fillId="13" borderId="1" xfId="0" applyNumberFormat="1" applyFont="1" applyFill="1" applyBorder="1" applyAlignment="1" applyProtection="1">
      <alignment vertical="center" wrapText="1"/>
      <protection hidden="1"/>
    </xf>
    <xf numFmtId="164" fontId="3" fillId="14" borderId="1" xfId="0" applyNumberFormat="1" applyFont="1" applyFill="1" applyBorder="1" applyAlignment="1" applyProtection="1">
      <alignment vertical="center" wrapText="1"/>
      <protection hidden="1"/>
    </xf>
    <xf numFmtId="0" fontId="4" fillId="15" borderId="1" xfId="0" applyFont="1" applyFill="1" applyBorder="1" applyAlignment="1" applyProtection="1">
      <alignment horizontal="center" wrapText="1"/>
      <protection hidden="1"/>
    </xf>
    <xf numFmtId="0" fontId="4" fillId="14" borderId="1" xfId="0" applyFont="1" applyFill="1" applyBorder="1" applyAlignment="1" applyProtection="1">
      <alignment horizontal="center" wrapText="1"/>
      <protection hidden="1"/>
    </xf>
    <xf numFmtId="164" fontId="3" fillId="12" borderId="1" xfId="0" applyNumberFormat="1" applyFont="1" applyFill="1" applyBorder="1" applyAlignment="1" applyProtection="1">
      <alignment vertical="center"/>
      <protection hidden="1"/>
    </xf>
    <xf numFmtId="0" fontId="3" fillId="6" borderId="18" xfId="2" applyFont="1" applyAlignment="1" applyProtection="1">
      <protection locked="0"/>
    </xf>
    <xf numFmtId="0" fontId="5" fillId="6" borderId="18" xfId="2" applyFont="1" applyAlignment="1" applyProtection="1">
      <protection locked="0"/>
    </xf>
    <xf numFmtId="0" fontId="3" fillId="6" borderId="18" xfId="2" applyFont="1" applyProtection="1">
      <protection locked="0"/>
    </xf>
    <xf numFmtId="0" fontId="3" fillId="6" borderId="18" xfId="2" applyFont="1" applyAlignment="1" applyProtection="1">
      <alignment horizontal="left"/>
      <protection locked="0"/>
    </xf>
    <xf numFmtId="164" fontId="3" fillId="6" borderId="18" xfId="2" applyNumberFormat="1" applyFont="1" applyProtection="1">
      <protection locked="0"/>
    </xf>
    <xf numFmtId="43" fontId="0" fillId="6" borderId="67" xfId="2" applyNumberFormat="1" applyFont="1" applyBorder="1" applyProtection="1">
      <protection locked="0"/>
    </xf>
    <xf numFmtId="41" fontId="0" fillId="6" borderId="67" xfId="2" applyNumberFormat="1" applyFont="1" applyBorder="1" applyProtection="1">
      <protection locked="0"/>
    </xf>
    <xf numFmtId="0" fontId="15" fillId="9" borderId="1" xfId="4" applyFont="1" applyBorder="1" applyAlignment="1" applyProtection="1">
      <protection hidden="1"/>
    </xf>
    <xf numFmtId="0" fontId="15" fillId="0" borderId="0" xfId="0" applyFont="1" applyFill="1" applyProtection="1">
      <protection hidden="1"/>
    </xf>
    <xf numFmtId="0" fontId="3" fillId="6" borderId="26" xfId="2" applyFont="1" applyBorder="1" applyAlignment="1" applyProtection="1">
      <alignment horizontal="center" vertical="top" wrapText="1"/>
      <protection hidden="1"/>
    </xf>
    <xf numFmtId="0" fontId="4" fillId="6" borderId="27" xfId="2" applyFont="1" applyBorder="1" applyAlignment="1" applyProtection="1">
      <alignment horizontal="center" vertical="top" wrapText="1"/>
      <protection hidden="1"/>
    </xf>
    <xf numFmtId="0" fontId="3" fillId="6" borderId="26" xfId="2" applyFont="1" applyBorder="1" applyAlignment="1" applyProtection="1">
      <alignment vertical="top" wrapText="1"/>
      <protection hidden="1"/>
    </xf>
    <xf numFmtId="0" fontId="4" fillId="6" borderId="51" xfId="2" applyFont="1" applyBorder="1" applyAlignment="1" applyProtection="1">
      <alignment vertical="top" wrapText="1"/>
      <protection hidden="1"/>
    </xf>
    <xf numFmtId="10" fontId="3" fillId="6" borderId="18" xfId="2" applyNumberFormat="1" applyFont="1" applyProtection="1">
      <protection hidden="1"/>
    </xf>
    <xf numFmtId="164" fontId="15" fillId="9" borderId="36" xfId="4" applyNumberFormat="1" applyFont="1" applyBorder="1" applyAlignment="1" applyProtection="1">
      <alignment horizontal="center"/>
      <protection hidden="1"/>
    </xf>
    <xf numFmtId="0" fontId="0" fillId="7" borderId="0" xfId="0" applyFill="1" applyProtection="1">
      <protection hidden="1"/>
    </xf>
    <xf numFmtId="0" fontId="3" fillId="0" borderId="0" xfId="0" applyNumberFormat="1" applyFont="1" applyProtection="1">
      <protection hidden="1"/>
    </xf>
    <xf numFmtId="41" fontId="3" fillId="0" borderId="0" xfId="0" applyNumberFormat="1" applyFont="1" applyProtection="1">
      <protection hidden="1"/>
    </xf>
    <xf numFmtId="0" fontId="17" fillId="16" borderId="1" xfId="0" applyFont="1" applyFill="1" applyBorder="1" applyAlignment="1" applyProtection="1">
      <alignment vertical="center" wrapText="1"/>
      <protection locked="0"/>
    </xf>
    <xf numFmtId="0" fontId="17" fillId="16" borderId="1" xfId="0" applyFont="1" applyFill="1" applyBorder="1" applyAlignment="1" applyProtection="1">
      <alignment horizontal="center" vertical="center" wrapText="1"/>
      <protection locked="0"/>
    </xf>
    <xf numFmtId="0" fontId="3" fillId="4" borderId="47" xfId="0" applyFont="1" applyFill="1" applyBorder="1" applyProtection="1">
      <protection hidden="1"/>
    </xf>
    <xf numFmtId="0" fontId="27" fillId="4" borderId="47" xfId="0" applyFont="1" applyFill="1" applyBorder="1" applyProtection="1">
      <protection hidden="1"/>
    </xf>
    <xf numFmtId="0" fontId="3" fillId="6" borderId="26" xfId="2" applyFont="1" applyBorder="1" applyAlignment="1" applyProtection="1">
      <alignment vertical="top" wrapText="1"/>
      <protection locked="0"/>
    </xf>
    <xf numFmtId="0" fontId="3" fillId="6" borderId="27" xfId="2" applyFont="1" applyBorder="1" applyAlignment="1" applyProtection="1">
      <alignment vertical="top" wrapText="1"/>
      <protection locked="0"/>
    </xf>
    <xf numFmtId="0" fontId="3" fillId="6" borderId="25" xfId="2" applyFont="1" applyBorder="1" applyAlignment="1" applyProtection="1">
      <alignment vertical="top" wrapText="1"/>
      <protection locked="0"/>
    </xf>
    <xf numFmtId="0" fontId="3" fillId="6" borderId="29" xfId="2" applyFont="1" applyBorder="1" applyAlignment="1" applyProtection="1">
      <alignment vertical="top" wrapText="1"/>
      <protection locked="0"/>
    </xf>
    <xf numFmtId="41" fontId="27" fillId="4" borderId="0" xfId="0" applyNumberFormat="1" applyFont="1" applyFill="1" applyBorder="1" applyProtection="1">
      <protection hidden="1"/>
    </xf>
    <xf numFmtId="41" fontId="8" fillId="3" borderId="1" xfId="0" applyNumberFormat="1" applyFont="1" applyFill="1" applyBorder="1" applyProtection="1">
      <protection hidden="1"/>
    </xf>
    <xf numFmtId="41" fontId="4" fillId="2" borderId="1" xfId="0" applyNumberFormat="1" applyFont="1" applyFill="1" applyBorder="1" applyAlignment="1" applyProtection="1">
      <alignment vertical="center" wrapText="1"/>
      <protection hidden="1"/>
    </xf>
    <xf numFmtId="41" fontId="47" fillId="2" borderId="1" xfId="0" applyNumberFormat="1" applyFont="1" applyFill="1" applyBorder="1" applyAlignment="1" applyProtection="1">
      <alignment vertical="center" wrapText="1"/>
      <protection hidden="1"/>
    </xf>
    <xf numFmtId="0" fontId="6" fillId="4" borderId="50" xfId="0" applyFont="1" applyFill="1" applyBorder="1" applyProtection="1">
      <protection hidden="1"/>
    </xf>
    <xf numFmtId="0" fontId="27" fillId="4" borderId="0" xfId="0" applyFont="1" applyFill="1" applyProtection="1">
      <protection hidden="1"/>
    </xf>
    <xf numFmtId="10" fontId="3" fillId="6" borderId="28" xfId="2" applyNumberFormat="1" applyFont="1" applyBorder="1" applyProtection="1">
      <protection locked="0"/>
    </xf>
    <xf numFmtId="41" fontId="47" fillId="2" borderId="1" xfId="0" applyNumberFormat="1" applyFont="1" applyFill="1" applyBorder="1" applyAlignment="1" applyProtection="1">
      <alignment horizontal="center" wrapText="1"/>
      <protection hidden="1"/>
    </xf>
    <xf numFmtId="0" fontId="3" fillId="2" borderId="33" xfId="0" applyFont="1" applyFill="1" applyBorder="1" applyAlignment="1" applyProtection="1">
      <alignment horizontal="center" wrapText="1"/>
      <protection hidden="1"/>
    </xf>
    <xf numFmtId="44" fontId="3" fillId="0" borderId="61" xfId="0" applyNumberFormat="1" applyFont="1" applyFill="1" applyBorder="1" applyProtection="1">
      <protection hidden="1"/>
    </xf>
    <xf numFmtId="44" fontId="4" fillId="0" borderId="62" xfId="0" applyNumberFormat="1" applyFont="1" applyBorder="1" applyProtection="1">
      <protection hidden="1"/>
    </xf>
    <xf numFmtId="44" fontId="3" fillId="0" borderId="62" xfId="0" applyNumberFormat="1" applyFont="1" applyBorder="1" applyProtection="1">
      <protection hidden="1"/>
    </xf>
    <xf numFmtId="3" fontId="28" fillId="0" borderId="0" xfId="0" applyNumberFormat="1" applyFont="1" applyProtection="1">
      <protection hidden="1"/>
    </xf>
    <xf numFmtId="43" fontId="28" fillId="0" borderId="0" xfId="0" applyNumberFormat="1" applyFont="1" applyProtection="1">
      <protection hidden="1"/>
    </xf>
    <xf numFmtId="0" fontId="16" fillId="3" borderId="14" xfId="0" applyFont="1" applyFill="1" applyBorder="1" applyAlignment="1" applyProtection="1">
      <alignment horizontal="right"/>
      <protection hidden="1"/>
    </xf>
    <xf numFmtId="0" fontId="3" fillId="0" borderId="0" xfId="0" applyFont="1" applyBorder="1" applyAlignment="1" applyProtection="1">
      <alignment wrapText="1"/>
      <protection hidden="1"/>
    </xf>
    <xf numFmtId="0" fontId="3" fillId="0" borderId="11" xfId="0" applyFont="1" applyBorder="1" applyAlignment="1" applyProtection="1">
      <alignment wrapText="1"/>
      <protection hidden="1"/>
    </xf>
    <xf numFmtId="0" fontId="3" fillId="0" borderId="45" xfId="0" applyFont="1" applyBorder="1" applyProtection="1">
      <protection hidden="1"/>
    </xf>
    <xf numFmtId="0" fontId="3" fillId="0" borderId="45" xfId="0" applyFont="1" applyBorder="1" applyAlignment="1" applyProtection="1">
      <alignment vertical="center"/>
      <protection hidden="1"/>
    </xf>
    <xf numFmtId="0" fontId="4" fillId="0" borderId="78" xfId="0" applyFont="1" applyBorder="1" applyProtection="1">
      <protection hidden="1"/>
    </xf>
    <xf numFmtId="0" fontId="6" fillId="4" borderId="0" xfId="0" applyFont="1" applyFill="1" applyBorder="1" applyAlignment="1" applyProtection="1">
      <alignment wrapText="1"/>
      <protection hidden="1"/>
    </xf>
    <xf numFmtId="0" fontId="48" fillId="4" borderId="0" xfId="0" applyFont="1" applyFill="1" applyBorder="1" applyAlignment="1" applyProtection="1">
      <alignment wrapText="1"/>
      <protection hidden="1"/>
    </xf>
    <xf numFmtId="10" fontId="6" fillId="4" borderId="0" xfId="0" applyNumberFormat="1" applyFont="1" applyFill="1" applyBorder="1" applyAlignment="1" applyProtection="1">
      <alignment wrapText="1"/>
      <protection hidden="1"/>
    </xf>
    <xf numFmtId="0" fontId="3" fillId="0" borderId="1" xfId="0" applyFont="1" applyBorder="1" applyAlignment="1" applyProtection="1">
      <protection hidden="1"/>
    </xf>
    <xf numFmtId="0" fontId="3" fillId="0" borderId="1" xfId="0" applyFont="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center" wrapText="1"/>
      <protection hidden="1"/>
    </xf>
    <xf numFmtId="0" fontId="3" fillId="2" borderId="38" xfId="0" applyFont="1" applyFill="1" applyBorder="1" applyAlignment="1" applyProtection="1">
      <alignment horizontal="center" wrapText="1"/>
      <protection hidden="1"/>
    </xf>
    <xf numFmtId="0" fontId="3" fillId="2" borderId="72" xfId="0" applyFont="1" applyFill="1" applyBorder="1" applyAlignment="1" applyProtection="1">
      <alignment horizontal="center" wrapText="1"/>
      <protection hidden="1"/>
    </xf>
    <xf numFmtId="0" fontId="3" fillId="2" borderId="42" xfId="0" applyFont="1" applyFill="1" applyBorder="1" applyAlignment="1" applyProtection="1">
      <alignment horizontal="center" wrapText="1"/>
      <protection hidden="1"/>
    </xf>
    <xf numFmtId="44" fontId="3" fillId="4" borderId="0" xfId="0" applyNumberFormat="1" applyFont="1" applyFill="1" applyProtection="1">
      <protection hidden="1"/>
    </xf>
    <xf numFmtId="44" fontId="49" fillId="0" borderId="61" xfId="0" applyNumberFormat="1" applyFont="1" applyBorder="1" applyProtection="1">
      <protection hidden="1"/>
    </xf>
    <xf numFmtId="44" fontId="49" fillId="0" borderId="61" xfId="0" applyNumberFormat="1" applyFont="1" applyBorder="1" applyAlignment="1" applyProtection="1">
      <alignment vertical="center"/>
      <protection hidden="1"/>
    </xf>
    <xf numFmtId="44" fontId="49" fillId="0" borderId="61" xfId="0" applyNumberFormat="1" applyFont="1" applyFill="1" applyBorder="1" applyProtection="1">
      <protection hidden="1"/>
    </xf>
    <xf numFmtId="0" fontId="3" fillId="6" borderId="18" xfId="2" applyFont="1" applyAlignment="1" applyProtection="1">
      <alignment horizontal="center"/>
      <protection locked="0"/>
    </xf>
    <xf numFmtId="0" fontId="3" fillId="6" borderId="26" xfId="2" applyFont="1" applyBorder="1" applyAlignment="1" applyProtection="1">
      <alignment horizontal="center" vertical="top" wrapText="1"/>
      <protection locked="0"/>
    </xf>
    <xf numFmtId="0" fontId="3" fillId="6" borderId="25" xfId="2" applyFont="1" applyBorder="1" applyAlignment="1" applyProtection="1">
      <alignment horizontal="center" vertical="top" wrapText="1"/>
      <protection locked="0"/>
    </xf>
    <xf numFmtId="4" fontId="15" fillId="9" borderId="1" xfId="4" applyNumberFormat="1" applyFont="1" applyBorder="1" applyAlignment="1" applyProtection="1">
      <alignment horizontal="center"/>
      <protection hidden="1"/>
    </xf>
    <xf numFmtId="0" fontId="3" fillId="0" borderId="1" xfId="0" applyFont="1" applyBorder="1" applyAlignment="1" applyProtection="1">
      <protection hidden="1"/>
    </xf>
    <xf numFmtId="0" fontId="4" fillId="0" borderId="1" xfId="0" applyFont="1" applyBorder="1" applyAlignment="1" applyProtection="1">
      <alignment horizontal="left"/>
      <protection hidden="1"/>
    </xf>
    <xf numFmtId="0" fontId="15" fillId="9" borderId="1" xfId="4" applyFont="1" applyBorder="1" applyAlignment="1" applyProtection="1">
      <protection hidden="1"/>
    </xf>
    <xf numFmtId="0" fontId="3" fillId="0" borderId="36" xfId="0" applyFont="1" applyBorder="1" applyProtection="1">
      <protection hidden="1"/>
    </xf>
    <xf numFmtId="44" fontId="49" fillId="0" borderId="8" xfId="0" applyNumberFormat="1" applyFont="1" applyBorder="1" applyProtection="1">
      <protection hidden="1"/>
    </xf>
    <xf numFmtId="44" fontId="49" fillId="0" borderId="8" xfId="0" applyNumberFormat="1" applyFont="1" applyBorder="1" applyAlignment="1" applyProtection="1">
      <alignment vertical="center"/>
      <protection hidden="1"/>
    </xf>
    <xf numFmtId="44" fontId="49" fillId="0" borderId="9" xfId="0" applyNumberFormat="1" applyFont="1" applyBorder="1" applyProtection="1">
      <protection hidden="1"/>
    </xf>
    <xf numFmtId="0" fontId="4" fillId="0" borderId="36" xfId="0" applyFont="1" applyBorder="1" applyProtection="1">
      <protection hidden="1"/>
    </xf>
    <xf numFmtId="44" fontId="36" fillId="0" borderId="61" xfId="0" applyNumberFormat="1" applyFont="1" applyBorder="1" applyProtection="1">
      <protection hidden="1"/>
    </xf>
    <xf numFmtId="44" fontId="36" fillId="0" borderId="8" xfId="0" applyNumberFormat="1" applyFont="1" applyBorder="1" applyProtection="1">
      <protection hidden="1"/>
    </xf>
    <xf numFmtId="0" fontId="3" fillId="0" borderId="0" xfId="0" applyFont="1" applyFill="1" applyProtection="1">
      <protection hidden="1"/>
    </xf>
    <xf numFmtId="0" fontId="6" fillId="0" borderId="0" xfId="0" applyFont="1" applyFill="1" applyAlignment="1" applyProtection="1">
      <alignment wrapText="1"/>
      <protection hidden="1"/>
    </xf>
    <xf numFmtId="0" fontId="3" fillId="0" borderId="35" xfId="0" applyFont="1" applyFill="1" applyBorder="1" applyAlignment="1" applyProtection="1">
      <alignment horizontal="left"/>
      <protection hidden="1"/>
    </xf>
    <xf numFmtId="3" fontId="6" fillId="4" borderId="0" xfId="0" applyNumberFormat="1" applyFont="1" applyFill="1" applyBorder="1" applyAlignment="1" applyProtection="1">
      <alignment horizontal="center"/>
      <protection hidden="1"/>
    </xf>
    <xf numFmtId="0" fontId="32" fillId="2" borderId="42" xfId="0" applyFont="1" applyFill="1" applyBorder="1" applyAlignment="1" applyProtection="1">
      <alignment horizontal="left"/>
      <protection hidden="1"/>
    </xf>
    <xf numFmtId="41" fontId="3" fillId="2" borderId="1" xfId="2" applyNumberFormat="1" applyFont="1" applyFill="1" applyBorder="1" applyProtection="1">
      <protection hidden="1"/>
    </xf>
    <xf numFmtId="0" fontId="32" fillId="0" borderId="1" xfId="0" applyFont="1" applyFill="1" applyBorder="1" applyAlignment="1" applyProtection="1">
      <alignment horizontal="left"/>
      <protection hidden="1"/>
    </xf>
    <xf numFmtId="0" fontId="32" fillId="0" borderId="39" xfId="0" applyFont="1" applyFill="1" applyBorder="1" applyAlignment="1" applyProtection="1">
      <alignment horizontal="left"/>
      <protection hidden="1"/>
    </xf>
    <xf numFmtId="0" fontId="32" fillId="4" borderId="0" xfId="0" applyFont="1" applyFill="1" applyBorder="1" applyAlignment="1" applyProtection="1">
      <alignment horizontal="left"/>
      <protection hidden="1"/>
    </xf>
    <xf numFmtId="10" fontId="6" fillId="4" borderId="0" xfId="2" applyNumberFormat="1" applyFont="1" applyFill="1" applyBorder="1" applyProtection="1">
      <protection hidden="1"/>
    </xf>
    <xf numFmtId="164" fontId="3" fillId="17" borderId="18" xfId="2" applyNumberFormat="1" applyFont="1" applyFill="1" applyProtection="1">
      <protection locked="0"/>
    </xf>
    <xf numFmtId="165" fontId="5" fillId="17" borderId="18" xfId="2" applyNumberFormat="1" applyFont="1" applyFill="1" applyProtection="1">
      <protection locked="0"/>
    </xf>
    <xf numFmtId="0" fontId="4" fillId="6" borderId="54" xfId="2" applyFont="1" applyBorder="1" applyAlignment="1" applyProtection="1">
      <alignment horizontal="center"/>
      <protection locked="0"/>
    </xf>
    <xf numFmtId="0" fontId="4" fillId="6" borderId="1" xfId="2" applyFont="1" applyBorder="1" applyAlignment="1" applyProtection="1">
      <alignment horizontal="center" vertical="center"/>
      <protection locked="0"/>
    </xf>
    <xf numFmtId="0" fontId="28" fillId="2" borderId="11" xfId="0" applyFont="1" applyFill="1" applyBorder="1" applyAlignment="1" applyProtection="1">
      <alignment wrapText="1"/>
      <protection hidden="1"/>
    </xf>
    <xf numFmtId="0" fontId="3" fillId="0" borderId="11" xfId="0" applyFont="1" applyBorder="1" applyAlignment="1" applyProtection="1">
      <alignment horizontal="center" wrapText="1"/>
      <protection hidden="1"/>
    </xf>
    <xf numFmtId="0" fontId="3" fillId="0" borderId="15" xfId="0" applyFont="1" applyBorder="1" applyAlignment="1" applyProtection="1">
      <alignment wrapText="1"/>
      <protection hidden="1"/>
    </xf>
    <xf numFmtId="0" fontId="3" fillId="0" borderId="34" xfId="0" applyFont="1" applyFill="1" applyBorder="1" applyAlignment="1" applyProtection="1">
      <alignment horizontal="left"/>
      <protection hidden="1"/>
    </xf>
    <xf numFmtId="43" fontId="3" fillId="0" borderId="33" xfId="0" applyNumberFormat="1" applyFont="1" applyBorder="1" applyProtection="1">
      <protection hidden="1"/>
    </xf>
    <xf numFmtId="0" fontId="3" fillId="0" borderId="32" xfId="0" applyFont="1" applyBorder="1" applyProtection="1">
      <protection hidden="1"/>
    </xf>
    <xf numFmtId="0" fontId="4" fillId="0" borderId="0" xfId="0" applyFont="1" applyFill="1" applyBorder="1" applyAlignment="1" applyProtection="1">
      <alignment horizontal="right"/>
      <protection hidden="1"/>
    </xf>
    <xf numFmtId="44" fontId="4" fillId="0" borderId="0" xfId="0" applyNumberFormat="1" applyFont="1" applyFill="1" applyBorder="1" applyProtection="1">
      <protection hidden="1"/>
    </xf>
    <xf numFmtId="44" fontId="8" fillId="0" borderId="12" xfId="0" applyNumberFormat="1" applyFont="1" applyBorder="1" applyProtection="1">
      <protection hidden="1"/>
    </xf>
    <xf numFmtId="0" fontId="9" fillId="2" borderId="2" xfId="0" applyFont="1" applyFill="1" applyBorder="1" applyAlignment="1" applyProtection="1">
      <alignment vertical="center" wrapText="1"/>
      <protection hidden="1"/>
    </xf>
    <xf numFmtId="41" fontId="8" fillId="6" borderId="1" xfId="2" applyNumberFormat="1" applyFont="1" applyBorder="1" applyProtection="1">
      <protection locked="0"/>
    </xf>
    <xf numFmtId="0" fontId="3" fillId="6" borderId="42" xfId="2" applyFont="1" applyBorder="1" applyAlignment="1" applyProtection="1">
      <alignment horizontal="center" vertical="center" wrapText="1"/>
      <protection locked="0"/>
    </xf>
    <xf numFmtId="41" fontId="3" fillId="6" borderId="1" xfId="2" applyNumberFormat="1" applyFont="1" applyBorder="1" applyAlignment="1" applyProtection="1">
      <alignment wrapText="1"/>
      <protection locked="0"/>
    </xf>
    <xf numFmtId="41" fontId="3" fillId="6" borderId="36" xfId="2" applyNumberFormat="1" applyFont="1" applyBorder="1" applyProtection="1">
      <protection locked="0"/>
    </xf>
    <xf numFmtId="41" fontId="8" fillId="6" borderId="36" xfId="2" applyNumberFormat="1" applyFont="1" applyBorder="1" applyProtection="1">
      <protection locked="0"/>
    </xf>
    <xf numFmtId="41" fontId="8" fillId="6" borderId="45" xfId="2" applyNumberFormat="1" applyFont="1" applyBorder="1" applyProtection="1">
      <protection locked="0"/>
    </xf>
    <xf numFmtId="10" fontId="3" fillId="6" borderId="1" xfId="2" applyNumberFormat="1" applyFont="1" applyBorder="1" applyProtection="1">
      <protection locked="0"/>
    </xf>
    <xf numFmtId="14" fontId="3" fillId="6" borderId="1" xfId="2" applyNumberFormat="1" applyFont="1" applyBorder="1" applyProtection="1">
      <protection locked="0"/>
    </xf>
    <xf numFmtId="0" fontId="3" fillId="0" borderId="0" xfId="0" applyFont="1" applyAlignment="1" applyProtection="1">
      <alignment vertical="top" wrapText="1"/>
      <protection locked="0"/>
    </xf>
    <xf numFmtId="0" fontId="26" fillId="0" borderId="0" xfId="0" applyFont="1" applyProtection="1">
      <protection locked="0"/>
    </xf>
    <xf numFmtId="0" fontId="28" fillId="0" borderId="0" xfId="0" applyFont="1" applyProtection="1">
      <protection locked="0"/>
    </xf>
    <xf numFmtId="0" fontId="3" fillId="0" borderId="0" xfId="0" applyFont="1" applyAlignment="1" applyProtection="1">
      <alignment wrapText="1"/>
      <protection locked="0"/>
    </xf>
    <xf numFmtId="14" fontId="3" fillId="6" borderId="18" xfId="2" applyNumberFormat="1" applyFont="1" applyAlignment="1" applyProtection="1">
      <alignment vertical="center"/>
      <protection locked="0"/>
    </xf>
    <xf numFmtId="0" fontId="3" fillId="0" borderId="34" xfId="0" applyFont="1" applyFill="1" applyBorder="1" applyAlignment="1" applyProtection="1">
      <alignment horizontal="left"/>
      <protection hidden="1"/>
    </xf>
    <xf numFmtId="0" fontId="3" fillId="0" borderId="35" xfId="0" applyFont="1" applyFill="1" applyBorder="1" applyAlignment="1" applyProtection="1">
      <alignment horizontal="left"/>
      <protection hidden="1"/>
    </xf>
    <xf numFmtId="43" fontId="3" fillId="6" borderId="1" xfId="2" applyNumberFormat="1" applyFont="1" applyBorder="1" applyAlignment="1" applyProtection="1">
      <alignment wrapText="1"/>
      <protection locked="0"/>
    </xf>
    <xf numFmtId="43" fontId="3" fillId="6" borderId="39" xfId="2" applyNumberFormat="1" applyFont="1" applyBorder="1" applyProtection="1">
      <protection locked="0"/>
    </xf>
    <xf numFmtId="41" fontId="3" fillId="6" borderId="46" xfId="2" applyNumberFormat="1" applyFont="1" applyBorder="1" applyAlignment="1" applyProtection="1">
      <alignment horizontal="right" vertical="center" wrapText="1"/>
      <protection locked="0"/>
    </xf>
    <xf numFmtId="41" fontId="3" fillId="6" borderId="45" xfId="2" applyNumberFormat="1" applyFont="1" applyBorder="1" applyProtection="1">
      <protection locked="0"/>
    </xf>
    <xf numFmtId="0" fontId="21" fillId="0" borderId="0" xfId="0" applyFont="1" applyFill="1" applyProtection="1">
      <protection locked="0"/>
    </xf>
    <xf numFmtId="41" fontId="3" fillId="2" borderId="1" xfId="0" applyNumberFormat="1" applyFont="1" applyFill="1" applyBorder="1" applyAlignment="1" applyProtection="1">
      <alignment horizontal="center"/>
      <protection hidden="1"/>
    </xf>
    <xf numFmtId="41" fontId="3" fillId="2" borderId="1" xfId="0" applyNumberFormat="1" applyFont="1" applyFill="1" applyBorder="1" applyAlignment="1" applyProtection="1">
      <alignment horizontal="center" wrapText="1"/>
      <protection hidden="1"/>
    </xf>
    <xf numFmtId="0" fontId="3" fillId="2" borderId="36" xfId="0" applyFont="1" applyFill="1" applyBorder="1" applyAlignment="1" applyProtection="1">
      <alignment horizontal="right"/>
      <protection hidden="1"/>
    </xf>
    <xf numFmtId="0" fontId="3" fillId="2" borderId="45" xfId="0" applyFont="1" applyFill="1" applyBorder="1" applyProtection="1">
      <protection hidden="1"/>
    </xf>
    <xf numFmtId="10" fontId="3" fillId="2" borderId="35" xfId="0" applyNumberFormat="1" applyFont="1" applyFill="1" applyBorder="1" applyProtection="1">
      <protection hidden="1"/>
    </xf>
    <xf numFmtId="0" fontId="3" fillId="0" borderId="36" xfId="0" applyFont="1" applyFill="1" applyBorder="1" applyAlignment="1" applyProtection="1">
      <alignment horizontal="right"/>
      <protection hidden="1"/>
    </xf>
    <xf numFmtId="0" fontId="3" fillId="0" borderId="45" xfId="0" applyFont="1" applyFill="1" applyBorder="1" applyAlignment="1" applyProtection="1">
      <protection hidden="1"/>
    </xf>
    <xf numFmtId="10" fontId="3" fillId="6" borderId="35" xfId="2" applyNumberFormat="1" applyFont="1" applyBorder="1" applyAlignment="1" applyProtection="1">
      <alignment horizontal="left"/>
      <protection hidden="1"/>
    </xf>
    <xf numFmtId="0" fontId="15" fillId="0" borderId="0" xfId="0" applyFont="1" applyFill="1" applyProtection="1">
      <protection locked="0"/>
    </xf>
    <xf numFmtId="0" fontId="3" fillId="6" borderId="18" xfId="2" applyNumberFormat="1" applyFont="1" applyProtection="1">
      <protection locked="0"/>
    </xf>
    <xf numFmtId="41" fontId="8" fillId="0" borderId="1" xfId="1" applyNumberFormat="1" applyFont="1" applyFill="1" applyBorder="1" applyAlignment="1" applyProtection="1">
      <protection hidden="1"/>
    </xf>
    <xf numFmtId="41" fontId="3" fillId="3" borderId="1" xfId="0" applyNumberFormat="1" applyFont="1" applyFill="1" applyBorder="1" applyAlignment="1" applyProtection="1">
      <alignment vertical="center"/>
      <protection hidden="1"/>
    </xf>
    <xf numFmtId="0" fontId="6" fillId="4" borderId="0" xfId="0" applyFont="1" applyFill="1" applyBorder="1" applyAlignment="1" applyProtection="1">
      <alignment vertical="center" wrapText="1"/>
      <protection hidden="1"/>
    </xf>
    <xf numFmtId="14" fontId="3" fillId="17" borderId="18" xfId="2" applyNumberFormat="1" applyFont="1" applyFill="1" applyAlignment="1" applyProtection="1">
      <alignment vertical="center"/>
      <protection locked="0"/>
    </xf>
    <xf numFmtId="14" fontId="3" fillId="17" borderId="1" xfId="2" applyNumberFormat="1" applyFont="1" applyFill="1" applyBorder="1" applyAlignment="1" applyProtection="1">
      <alignment vertical="center"/>
      <protection locked="0"/>
    </xf>
    <xf numFmtId="0" fontId="50" fillId="2" borderId="0" xfId="0" applyFont="1" applyFill="1" applyAlignment="1" applyProtection="1">
      <alignment wrapText="1"/>
      <protection hidden="1"/>
    </xf>
    <xf numFmtId="44" fontId="49" fillId="0" borderId="79" xfId="0" applyNumberFormat="1" applyFont="1" applyBorder="1" applyProtection="1">
      <protection hidden="1"/>
    </xf>
    <xf numFmtId="0" fontId="8" fillId="4" borderId="0" xfId="0" applyFont="1" applyFill="1" applyBorder="1" applyAlignment="1" applyProtection="1">
      <alignment horizontal="left" wrapText="1"/>
      <protection hidden="1"/>
    </xf>
    <xf numFmtId="44" fontId="8" fillId="4" borderId="0" xfId="0" applyNumberFormat="1" applyFont="1" applyFill="1" applyBorder="1" applyProtection="1">
      <protection hidden="1"/>
    </xf>
    <xf numFmtId="43" fontId="3" fillId="4" borderId="0" xfId="0" applyNumberFormat="1" applyFont="1" applyFill="1" applyBorder="1" applyProtection="1">
      <protection hidden="1"/>
    </xf>
    <xf numFmtId="0" fontId="3" fillId="4" borderId="0" xfId="0" applyFont="1" applyFill="1" applyProtection="1"/>
    <xf numFmtId="0" fontId="0" fillId="0" borderId="1" xfId="0" applyBorder="1" applyAlignment="1">
      <alignment wrapText="1"/>
    </xf>
    <xf numFmtId="0" fontId="0" fillId="0" borderId="49" xfId="0" applyBorder="1" applyAlignment="1">
      <alignment wrapText="1"/>
    </xf>
    <xf numFmtId="0" fontId="0" fillId="0" borderId="39" xfId="0" applyBorder="1" applyAlignment="1">
      <alignment wrapText="1"/>
    </xf>
    <xf numFmtId="0" fontId="0" fillId="17" borderId="35" xfId="0" applyFill="1" applyBorder="1" applyProtection="1">
      <protection locked="0"/>
    </xf>
    <xf numFmtId="0" fontId="0" fillId="17" borderId="36" xfId="0" applyFill="1" applyBorder="1" applyProtection="1">
      <protection locked="0"/>
    </xf>
    <xf numFmtId="0" fontId="0" fillId="17" borderId="43" xfId="0" applyFill="1" applyBorder="1" applyProtection="1">
      <protection locked="0"/>
    </xf>
    <xf numFmtId="0" fontId="0" fillId="17" borderId="41" xfId="0" applyFill="1" applyBorder="1" applyProtection="1">
      <protection locked="0"/>
    </xf>
    <xf numFmtId="0" fontId="25" fillId="8" borderId="1" xfId="3" applyFont="1" applyBorder="1" applyAlignment="1" applyProtection="1">
      <alignment horizontal="center" vertical="center"/>
      <protection hidden="1"/>
    </xf>
    <xf numFmtId="4" fontId="15" fillId="9" borderId="44" xfId="4" applyNumberFormat="1" applyFont="1" applyBorder="1" applyAlignment="1" applyProtection="1">
      <alignment horizontal="left"/>
      <protection hidden="1"/>
    </xf>
    <xf numFmtId="4" fontId="15" fillId="9" borderId="0" xfId="4" applyNumberFormat="1" applyFont="1" applyAlignment="1" applyProtection="1">
      <alignment horizontal="left"/>
      <protection hidden="1"/>
    </xf>
    <xf numFmtId="0" fontId="15" fillId="9" borderId="0" xfId="4" applyFont="1" applyAlignment="1" applyProtection="1">
      <alignment horizontal="left"/>
      <protection hidden="1"/>
    </xf>
    <xf numFmtId="0" fontId="15" fillId="9" borderId="50" xfId="4" applyFont="1" applyBorder="1" applyAlignment="1" applyProtection="1">
      <alignment horizontal="left"/>
      <protection hidden="1"/>
    </xf>
    <xf numFmtId="0" fontId="15" fillId="9" borderId="44" xfId="4" applyFont="1" applyBorder="1" applyAlignment="1" applyProtection="1">
      <alignment horizontal="left"/>
      <protection hidden="1"/>
    </xf>
    <xf numFmtId="0" fontId="3" fillId="0" borderId="1" xfId="0" applyFont="1" applyBorder="1" applyAlignment="1" applyProtection="1">
      <alignment horizontal="left" wrapText="1"/>
      <protection hidden="1"/>
    </xf>
    <xf numFmtId="4" fontId="15" fillId="9" borderId="1" xfId="4" applyNumberFormat="1" applyFont="1" applyBorder="1" applyAlignment="1" applyProtection="1">
      <alignment horizontal="center"/>
      <protection hidden="1"/>
    </xf>
    <xf numFmtId="14" fontId="15" fillId="9" borderId="36" xfId="4" applyNumberFormat="1" applyFont="1" applyBorder="1" applyAlignment="1" applyProtection="1">
      <alignment horizontal="center"/>
      <protection hidden="1"/>
    </xf>
    <xf numFmtId="14" fontId="15" fillId="9" borderId="35" xfId="4" applyNumberFormat="1" applyFont="1" applyBorder="1" applyAlignment="1" applyProtection="1">
      <alignment horizontal="center"/>
      <protection hidden="1"/>
    </xf>
    <xf numFmtId="0" fontId="15" fillId="9" borderId="36" xfId="4" applyFont="1" applyBorder="1" applyAlignment="1" applyProtection="1">
      <alignment horizontal="left" indent="1"/>
      <protection hidden="1"/>
    </xf>
    <xf numFmtId="0" fontId="15" fillId="9" borderId="45" xfId="4" applyFont="1" applyBorder="1" applyAlignment="1" applyProtection="1">
      <alignment horizontal="left" indent="1"/>
      <protection hidden="1"/>
    </xf>
    <xf numFmtId="4" fontId="4" fillId="3" borderId="40" xfId="0" applyNumberFormat="1" applyFont="1" applyFill="1" applyBorder="1" applyAlignment="1" applyProtection="1">
      <alignment horizontal="center"/>
      <protection hidden="1"/>
    </xf>
    <xf numFmtId="0" fontId="15" fillId="9" borderId="1" xfId="4" applyFont="1" applyBorder="1" applyAlignment="1" applyProtection="1">
      <alignment horizontal="left" indent="6"/>
      <protection hidden="1"/>
    </xf>
    <xf numFmtId="2" fontId="3" fillId="0" borderId="36" xfId="0" applyNumberFormat="1" applyFont="1" applyBorder="1" applyAlignment="1" applyProtection="1">
      <alignment horizontal="center" vertical="center"/>
      <protection hidden="1"/>
    </xf>
    <xf numFmtId="2" fontId="3" fillId="0" borderId="35" xfId="0" applyNumberFormat="1" applyFont="1" applyBorder="1" applyAlignment="1" applyProtection="1">
      <alignment horizontal="center" vertical="center"/>
      <protection hidden="1"/>
    </xf>
    <xf numFmtId="0" fontId="3" fillId="0" borderId="1" xfId="0" applyFont="1" applyBorder="1" applyAlignment="1" applyProtection="1">
      <alignment horizontal="left" vertical="top" wrapText="1"/>
      <protection hidden="1"/>
    </xf>
    <xf numFmtId="0" fontId="3" fillId="2" borderId="1" xfId="0" applyFont="1" applyFill="1" applyBorder="1" applyAlignment="1" applyProtection="1">
      <alignment horizontal="left"/>
      <protection hidden="1"/>
    </xf>
    <xf numFmtId="10" fontId="15" fillId="9" borderId="36" xfId="4" applyNumberFormat="1" applyFont="1" applyBorder="1" applyAlignment="1" applyProtection="1">
      <alignment horizontal="center"/>
      <protection hidden="1"/>
    </xf>
    <xf numFmtId="10" fontId="15" fillId="9" borderId="45" xfId="4" applyNumberFormat="1" applyFont="1" applyBorder="1" applyAlignment="1" applyProtection="1">
      <alignment horizontal="center"/>
      <protection hidden="1"/>
    </xf>
    <xf numFmtId="10" fontId="15" fillId="9" borderId="35" xfId="4" applyNumberFormat="1" applyFont="1" applyBorder="1" applyAlignment="1" applyProtection="1">
      <alignment horizontal="center"/>
      <protection hidden="1"/>
    </xf>
    <xf numFmtId="0" fontId="4" fillId="0" borderId="36" xfId="0" applyFont="1" applyBorder="1" applyAlignment="1" applyProtection="1">
      <alignment horizontal="center" wrapText="1"/>
      <protection hidden="1"/>
    </xf>
    <xf numFmtId="0" fontId="4" fillId="0" borderId="35" xfId="0" applyFont="1" applyBorder="1" applyAlignment="1" applyProtection="1">
      <alignment horizontal="center" wrapText="1"/>
      <protection hidden="1"/>
    </xf>
    <xf numFmtId="4" fontId="3" fillId="0" borderId="36" xfId="0" applyNumberFormat="1" applyFont="1" applyBorder="1" applyAlignment="1" applyProtection="1">
      <alignment horizontal="center" vertical="center"/>
      <protection hidden="1"/>
    </xf>
    <xf numFmtId="4" fontId="3" fillId="0" borderId="35" xfId="0" applyNumberFormat="1" applyFont="1" applyBorder="1" applyAlignment="1" applyProtection="1">
      <alignment horizontal="center" vertical="center"/>
      <protection hidden="1"/>
    </xf>
    <xf numFmtId="0" fontId="46" fillId="4" borderId="0" xfId="6" applyFont="1" applyFill="1" applyAlignment="1" applyProtection="1">
      <alignment horizontal="center"/>
      <protection hidden="1"/>
    </xf>
    <xf numFmtId="0" fontId="3" fillId="2" borderId="0" xfId="0" applyFont="1" applyFill="1" applyAlignment="1" applyProtection="1">
      <alignment horizontal="left" vertical="top" wrapText="1"/>
      <protection hidden="1"/>
    </xf>
    <xf numFmtId="0" fontId="3" fillId="2" borderId="7" xfId="0" applyFont="1" applyFill="1" applyBorder="1" applyAlignment="1" applyProtection="1">
      <alignment horizontal="left" indent="1"/>
      <protection hidden="1"/>
    </xf>
    <xf numFmtId="0" fontId="3" fillId="2" borderId="3" xfId="0" applyFont="1" applyFill="1" applyBorder="1" applyAlignment="1" applyProtection="1">
      <alignment horizontal="left" indent="1"/>
      <protection hidden="1"/>
    </xf>
    <xf numFmtId="0" fontId="3" fillId="2" borderId="8" xfId="0" applyFont="1" applyFill="1" applyBorder="1" applyAlignment="1" applyProtection="1">
      <alignment horizontal="left" indent="1"/>
      <protection hidden="1"/>
    </xf>
    <xf numFmtId="0" fontId="3" fillId="2" borderId="1" xfId="0" applyFont="1" applyFill="1" applyBorder="1" applyAlignment="1" applyProtection="1">
      <alignment horizontal="left" indent="1"/>
      <protection hidden="1"/>
    </xf>
    <xf numFmtId="0" fontId="3" fillId="2" borderId="2" xfId="0" applyFont="1" applyFill="1" applyBorder="1" applyAlignment="1" applyProtection="1">
      <alignment horizontal="left" vertical="center" wrapText="1" indent="1"/>
      <protection hidden="1"/>
    </xf>
    <xf numFmtId="0" fontId="3" fillId="2" borderId="11" xfId="0" applyFont="1" applyFill="1" applyBorder="1" applyAlignment="1" applyProtection="1">
      <alignment horizontal="left" vertical="center" wrapText="1" indent="1"/>
      <protection hidden="1"/>
    </xf>
    <xf numFmtId="0" fontId="3" fillId="2" borderId="4" xfId="0" applyFont="1" applyFill="1" applyBorder="1" applyAlignment="1" applyProtection="1">
      <alignment horizontal="left" vertical="center" wrapText="1" indent="1"/>
      <protection hidden="1"/>
    </xf>
    <xf numFmtId="0" fontId="3" fillId="2" borderId="12" xfId="0" applyFont="1" applyFill="1" applyBorder="1" applyAlignment="1" applyProtection="1">
      <alignment horizontal="left" vertical="center" wrapText="1" indent="1"/>
      <protection hidden="1"/>
    </xf>
    <xf numFmtId="0" fontId="3" fillId="0" borderId="2" xfId="0" applyFont="1" applyBorder="1" applyAlignment="1" applyProtection="1">
      <alignment horizontal="left" vertical="center" indent="1"/>
      <protection hidden="1"/>
    </xf>
    <xf numFmtId="0" fontId="3" fillId="0" borderId="11" xfId="0" applyFont="1" applyBorder="1" applyAlignment="1" applyProtection="1">
      <alignment horizontal="left" vertical="center" indent="1"/>
      <protection hidden="1"/>
    </xf>
    <xf numFmtId="0" fontId="3" fillId="0" borderId="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1"/>
      <protection hidden="1"/>
    </xf>
    <xf numFmtId="0" fontId="3" fillId="2" borderId="9" xfId="0" applyFont="1" applyFill="1" applyBorder="1" applyAlignment="1" applyProtection="1">
      <alignment horizontal="left" indent="1"/>
      <protection hidden="1"/>
    </xf>
    <xf numFmtId="0" fontId="3" fillId="2" borderId="5" xfId="0" applyFont="1" applyFill="1" applyBorder="1" applyAlignment="1" applyProtection="1">
      <alignment horizontal="left" indent="1"/>
      <protection hidden="1"/>
    </xf>
    <xf numFmtId="0" fontId="3" fillId="2" borderId="6" xfId="0" applyFont="1" applyFill="1" applyBorder="1" applyAlignment="1" applyProtection="1">
      <alignment horizontal="left" indent="1"/>
      <protection hidden="1"/>
    </xf>
    <xf numFmtId="0" fontId="3" fillId="2" borderId="10" xfId="0" applyFont="1" applyFill="1" applyBorder="1" applyAlignment="1" applyProtection="1">
      <alignment horizontal="left" indent="1"/>
      <protection hidden="1"/>
    </xf>
    <xf numFmtId="0" fontId="3" fillId="6" borderId="25" xfId="2" applyFont="1" applyBorder="1" applyAlignment="1" applyProtection="1">
      <alignment horizontal="center"/>
      <protection locked="0" hidden="1"/>
    </xf>
    <xf numFmtId="0" fontId="3" fillId="6" borderId="29" xfId="2" applyFont="1" applyBorder="1" applyAlignment="1" applyProtection="1">
      <alignment horizontal="center"/>
      <protection locked="0" hidden="1"/>
    </xf>
    <xf numFmtId="0" fontId="3" fillId="6" borderId="30" xfId="2" applyFont="1" applyBorder="1" applyAlignment="1" applyProtection="1">
      <alignment horizontal="center"/>
      <protection hidden="1"/>
    </xf>
    <xf numFmtId="0" fontId="3" fillId="6" borderId="31" xfId="2" applyFont="1" applyBorder="1" applyAlignment="1" applyProtection="1">
      <alignment horizontal="center"/>
      <protection hidden="1"/>
    </xf>
    <xf numFmtId="0" fontId="3" fillId="6" borderId="26" xfId="2" applyFont="1" applyBorder="1" applyAlignment="1" applyProtection="1">
      <alignment horizontal="center" vertical="top" wrapText="1"/>
      <protection locked="0"/>
    </xf>
    <xf numFmtId="0" fontId="3" fillId="6" borderId="25" xfId="2" applyFont="1" applyBorder="1" applyAlignment="1" applyProtection="1">
      <alignment horizontal="center" vertical="top" wrapText="1"/>
      <protection locked="0"/>
    </xf>
    <xf numFmtId="0" fontId="3" fillId="6" borderId="26" xfId="2" applyFont="1" applyBorder="1" applyAlignment="1" applyProtection="1">
      <alignment horizontal="center" vertical="center" wrapText="1"/>
      <protection locked="0"/>
    </xf>
    <xf numFmtId="0" fontId="3" fillId="6" borderId="25" xfId="2" applyFont="1" applyBorder="1" applyAlignment="1" applyProtection="1">
      <alignment horizontal="center" vertical="center" wrapText="1"/>
      <protection locked="0"/>
    </xf>
    <xf numFmtId="0" fontId="4" fillId="2" borderId="0" xfId="0" applyFont="1" applyFill="1" applyAlignment="1" applyProtection="1">
      <alignment horizontal="left" vertical="top" wrapText="1"/>
      <protection hidden="1"/>
    </xf>
    <xf numFmtId="0" fontId="3" fillId="0" borderId="1" xfId="0" applyFont="1" applyBorder="1" applyAlignment="1" applyProtection="1">
      <alignment horizontal="left" indent="1"/>
      <protection hidden="1"/>
    </xf>
    <xf numFmtId="0" fontId="3" fillId="6" borderId="26" xfId="2" applyFont="1" applyBorder="1" applyAlignment="1" applyProtection="1">
      <alignment horizontal="center"/>
      <protection locked="0" hidden="1"/>
    </xf>
    <xf numFmtId="0" fontId="3" fillId="6" borderId="27" xfId="2" applyFont="1" applyBorder="1" applyAlignment="1" applyProtection="1">
      <alignment horizontal="center"/>
      <protection locked="0" hidden="1"/>
    </xf>
    <xf numFmtId="0" fontId="3" fillId="6" borderId="18" xfId="2" applyFont="1" applyAlignment="1" applyProtection="1">
      <alignment horizontal="center"/>
      <protection locked="0" hidden="1"/>
    </xf>
    <xf numFmtId="0" fontId="3" fillId="6" borderId="28" xfId="2" applyFont="1" applyBorder="1" applyAlignment="1" applyProtection="1">
      <alignment horizontal="center"/>
      <protection locked="0" hidden="1"/>
    </xf>
    <xf numFmtId="0" fontId="3" fillId="2" borderId="34" xfId="0" applyFont="1" applyFill="1" applyBorder="1" applyAlignment="1" applyProtection="1">
      <alignment horizontal="left" indent="1"/>
      <protection hidden="1"/>
    </xf>
    <xf numFmtId="0" fontId="3" fillId="2" borderId="35" xfId="0" applyFont="1" applyFill="1" applyBorder="1" applyAlignment="1" applyProtection="1">
      <alignment horizontal="left" indent="1"/>
      <protection hidden="1"/>
    </xf>
    <xf numFmtId="0" fontId="3" fillId="6" borderId="55" xfId="2" applyFont="1" applyBorder="1" applyAlignment="1" applyProtection="1">
      <alignment horizontal="center"/>
      <protection locked="0" hidden="1"/>
    </xf>
    <xf numFmtId="0" fontId="3" fillId="6" borderId="56" xfId="2" applyFont="1" applyBorder="1" applyAlignment="1" applyProtection="1">
      <alignment horizontal="center"/>
      <protection locked="0" hidden="1"/>
    </xf>
    <xf numFmtId="0" fontId="3" fillId="6" borderId="57" xfId="2" applyFont="1" applyBorder="1" applyAlignment="1" applyProtection="1">
      <alignment horizontal="center"/>
      <protection locked="0" hidden="1"/>
    </xf>
    <xf numFmtId="0" fontId="44" fillId="4" borderId="40" xfId="0" applyFont="1" applyFill="1" applyBorder="1" applyAlignment="1" applyProtection="1">
      <alignment horizontal="left" wrapText="1"/>
      <protection hidden="1"/>
    </xf>
    <xf numFmtId="0" fontId="15" fillId="9" borderId="1" xfId="4" applyFont="1" applyBorder="1" applyAlignment="1" applyProtection="1">
      <alignment horizontal="left" indent="1"/>
      <protection hidden="1"/>
    </xf>
    <xf numFmtId="0" fontId="15" fillId="9" borderId="36" xfId="4" applyFont="1" applyBorder="1" applyAlignment="1" applyProtection="1">
      <alignment horizontal="center"/>
      <protection hidden="1"/>
    </xf>
    <xf numFmtId="0" fontId="15" fillId="9" borderId="35" xfId="4" applyFont="1" applyBorder="1" applyAlignment="1" applyProtection="1">
      <alignment horizontal="center"/>
      <protection hidden="1"/>
    </xf>
    <xf numFmtId="0" fontId="15" fillId="9" borderId="47" xfId="4" applyFont="1" applyBorder="1" applyAlignment="1" applyProtection="1">
      <alignment horizontal="left"/>
      <protection hidden="1"/>
    </xf>
    <xf numFmtId="0" fontId="12" fillId="0" borderId="32" xfId="0" applyFont="1" applyBorder="1" applyAlignment="1" applyProtection="1">
      <alignment horizontal="center"/>
      <protection hidden="1"/>
    </xf>
    <xf numFmtId="0" fontId="12" fillId="0" borderId="0" xfId="0" applyFont="1" applyBorder="1" applyAlignment="1" applyProtection="1">
      <alignment horizontal="center"/>
      <protection hidden="1"/>
    </xf>
    <xf numFmtId="0" fontId="3" fillId="0" borderId="0" xfId="0" applyFont="1" applyAlignment="1" applyProtection="1">
      <alignment horizontal="left" vertical="center" wrapText="1"/>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protection hidden="1"/>
    </xf>
    <xf numFmtId="0" fontId="8" fillId="0" borderId="1" xfId="0" applyFont="1" applyFill="1" applyBorder="1" applyProtection="1">
      <protection hidden="1"/>
    </xf>
    <xf numFmtId="0" fontId="3" fillId="4" borderId="0" xfId="0" applyFont="1" applyFill="1" applyBorder="1" applyAlignment="1" applyProtection="1">
      <alignment horizontal="left" vertical="top" wrapText="1"/>
      <protection hidden="1"/>
    </xf>
    <xf numFmtId="0" fontId="4" fillId="4" borderId="0" xfId="0" applyFont="1" applyFill="1" applyBorder="1" applyAlignment="1" applyProtection="1">
      <alignment horizontal="center" vertical="distributed"/>
      <protection hidden="1"/>
    </xf>
    <xf numFmtId="4" fontId="4" fillId="4" borderId="0" xfId="0" applyNumberFormat="1" applyFont="1" applyFill="1" applyBorder="1" applyAlignment="1" applyProtection="1">
      <alignment horizontal="left" vertical="distributed" indent="1"/>
      <protection hidden="1"/>
    </xf>
    <xf numFmtId="0" fontId="30" fillId="4" borderId="0" xfId="0" applyFont="1" applyFill="1" applyAlignment="1" applyProtection="1">
      <alignment horizontal="center" vertical="center"/>
      <protection hidden="1"/>
    </xf>
    <xf numFmtId="0" fontId="3" fillId="4" borderId="0" xfId="0" applyFont="1" applyFill="1" applyBorder="1" applyAlignment="1" applyProtection="1">
      <alignment horizontal="left" wrapText="1"/>
      <protection hidden="1"/>
    </xf>
    <xf numFmtId="0" fontId="3" fillId="0" borderId="1" xfId="0" applyFont="1" applyBorder="1" applyAlignment="1" applyProtection="1">
      <alignment horizontal="center" vertical="center" wrapText="1"/>
      <protection hidden="1"/>
    </xf>
    <xf numFmtId="0" fontId="10" fillId="0" borderId="2" xfId="0" applyFont="1" applyBorder="1" applyAlignment="1" applyProtection="1">
      <alignment horizontal="center"/>
      <protection hidden="1"/>
    </xf>
    <xf numFmtId="0" fontId="10" fillId="0" borderId="11" xfId="0" applyFont="1" applyBorder="1" applyAlignment="1" applyProtection="1">
      <alignment horizontal="center"/>
      <protection hidden="1"/>
    </xf>
    <xf numFmtId="0" fontId="3" fillId="4" borderId="12" xfId="0" applyFont="1" applyFill="1" applyBorder="1" applyAlignment="1" applyProtection="1">
      <alignment horizontal="left" vertical="top" wrapText="1"/>
      <protection hidden="1"/>
    </xf>
    <xf numFmtId="0" fontId="3" fillId="4" borderId="0" xfId="0" applyFont="1" applyFill="1" applyBorder="1" applyAlignment="1" applyProtection="1">
      <alignment horizontal="center" vertical="top" wrapText="1"/>
      <protection hidden="1"/>
    </xf>
    <xf numFmtId="0" fontId="3" fillId="4" borderId="12" xfId="0" applyFont="1" applyFill="1" applyBorder="1" applyAlignment="1" applyProtection="1">
      <alignment horizontal="center" vertical="top" wrapText="1"/>
      <protection hidden="1"/>
    </xf>
    <xf numFmtId="0" fontId="8" fillId="0" borderId="1" xfId="0" applyFont="1" applyFill="1" applyBorder="1" applyAlignment="1" applyProtection="1">
      <alignment horizontal="left"/>
      <protection hidden="1"/>
    </xf>
    <xf numFmtId="0" fontId="46" fillId="4" borderId="12" xfId="6" applyFont="1" applyFill="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horizontal="left" vertical="center"/>
      <protection hidden="1"/>
    </xf>
    <xf numFmtId="0" fontId="17" fillId="0" borderId="36" xfId="0" applyFont="1" applyFill="1" applyBorder="1" applyAlignment="1" applyProtection="1">
      <alignment horizontal="left"/>
      <protection locked="0"/>
    </xf>
    <xf numFmtId="0" fontId="17" fillId="0" borderId="35" xfId="0" applyFont="1" applyFill="1" applyBorder="1" applyAlignment="1" applyProtection="1">
      <alignment horizontal="left"/>
      <protection locked="0"/>
    </xf>
    <xf numFmtId="0" fontId="17" fillId="0" borderId="0" xfId="0" applyFont="1" applyFill="1" applyAlignment="1" applyProtection="1">
      <alignment horizontal="left" vertical="top" wrapText="1"/>
      <protection locked="0"/>
    </xf>
    <xf numFmtId="0" fontId="46" fillId="0" borderId="0" xfId="6" applyFont="1" applyAlignment="1" applyProtection="1">
      <alignment horizontal="center"/>
      <protection hidden="1"/>
    </xf>
    <xf numFmtId="0" fontId="32" fillId="0" borderId="1" xfId="0" applyFont="1" applyFill="1" applyBorder="1" applyAlignment="1" applyProtection="1">
      <alignment horizontal="left"/>
      <protection locked="0"/>
    </xf>
    <xf numFmtId="0" fontId="22" fillId="2" borderId="44" xfId="0" applyFont="1" applyFill="1" applyBorder="1" applyAlignment="1" applyProtection="1">
      <alignment horizontal="left" vertical="center" wrapText="1"/>
      <protection hidden="1"/>
    </xf>
    <xf numFmtId="0" fontId="22" fillId="2" borderId="50" xfId="0" applyFont="1" applyFill="1" applyBorder="1" applyAlignment="1" applyProtection="1">
      <alignment horizontal="left" vertical="center" wrapText="1"/>
      <protection hidden="1"/>
    </xf>
    <xf numFmtId="0" fontId="22" fillId="2" borderId="39" xfId="0" applyFont="1" applyFill="1" applyBorder="1" applyAlignment="1" applyProtection="1">
      <alignment horizontal="left" vertical="center" wrapText="1"/>
      <protection hidden="1"/>
    </xf>
    <xf numFmtId="0" fontId="22" fillId="2" borderId="49" xfId="0" applyFont="1" applyFill="1" applyBorder="1" applyAlignment="1" applyProtection="1">
      <alignment horizontal="left" vertical="center" wrapText="1"/>
      <protection hidden="1"/>
    </xf>
    <xf numFmtId="0" fontId="4" fillId="0" borderId="1" xfId="0" applyFont="1" applyFill="1" applyBorder="1" applyAlignment="1" applyProtection="1">
      <alignment horizontal="left"/>
      <protection hidden="1"/>
    </xf>
    <xf numFmtId="0" fontId="3" fillId="2" borderId="44" xfId="0" applyFont="1" applyFill="1" applyBorder="1" applyAlignment="1" applyProtection="1">
      <alignment horizontal="center"/>
      <protection hidden="1"/>
    </xf>
    <xf numFmtId="0" fontId="3" fillId="2" borderId="50" xfId="0" applyFont="1" applyFill="1" applyBorder="1" applyAlignment="1" applyProtection="1">
      <alignment horizontal="center"/>
      <protection hidden="1"/>
    </xf>
    <xf numFmtId="3" fontId="3" fillId="2" borderId="1" xfId="0" applyNumberFormat="1" applyFont="1" applyFill="1" applyBorder="1" applyAlignment="1" applyProtection="1">
      <alignment horizontal="center"/>
      <protection hidden="1"/>
    </xf>
    <xf numFmtId="0" fontId="4" fillId="0" borderId="36" xfId="0" applyFont="1" applyFill="1" applyBorder="1" applyAlignment="1" applyProtection="1">
      <alignment horizontal="left"/>
      <protection hidden="1"/>
    </xf>
    <xf numFmtId="0" fontId="4" fillId="0" borderId="35" xfId="0" applyFont="1" applyFill="1" applyBorder="1" applyAlignment="1" applyProtection="1">
      <alignment horizontal="left"/>
      <protection hidden="1"/>
    </xf>
    <xf numFmtId="0" fontId="34" fillId="2" borderId="41" xfId="0" applyFont="1" applyFill="1" applyBorder="1" applyAlignment="1" applyProtection="1">
      <alignment horizontal="center"/>
      <protection hidden="1"/>
    </xf>
    <xf numFmtId="0" fontId="34" fillId="2" borderId="40" xfId="0" applyFont="1" applyFill="1" applyBorder="1" applyAlignment="1" applyProtection="1">
      <alignment horizontal="center"/>
      <protection hidden="1"/>
    </xf>
    <xf numFmtId="0" fontId="34" fillId="2" borderId="43" xfId="0" applyFont="1" applyFill="1" applyBorder="1" applyAlignment="1" applyProtection="1">
      <alignment horizontal="center"/>
      <protection hidden="1"/>
    </xf>
    <xf numFmtId="0" fontId="4" fillId="0" borderId="1" xfId="0" applyFont="1" applyBorder="1" applyAlignment="1" applyProtection="1">
      <alignment horizontal="left"/>
      <protection hidden="1"/>
    </xf>
    <xf numFmtId="0" fontId="17" fillId="0" borderId="45" xfId="0" applyFont="1" applyFill="1" applyBorder="1" applyAlignment="1" applyProtection="1">
      <alignment horizontal="left"/>
      <protection locked="0"/>
    </xf>
    <xf numFmtId="0" fontId="9" fillId="0" borderId="1" xfId="0" applyFont="1" applyFill="1" applyBorder="1" applyAlignment="1" applyProtection="1">
      <alignment horizontal="left"/>
      <protection hidden="1"/>
    </xf>
    <xf numFmtId="0" fontId="10"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center" vertical="center" wrapText="1"/>
      <protection hidden="1"/>
    </xf>
    <xf numFmtId="0" fontId="11" fillId="4" borderId="0" xfId="0" applyFont="1" applyFill="1" applyBorder="1" applyAlignment="1" applyProtection="1">
      <alignment horizontal="left" vertical="center" wrapText="1"/>
      <protection hidden="1"/>
    </xf>
    <xf numFmtId="0" fontId="3" fillId="4" borderId="0" xfId="0" applyFont="1" applyFill="1" applyBorder="1" applyAlignment="1" applyProtection="1">
      <alignment horizontal="left" vertical="center" wrapText="1"/>
      <protection hidden="1"/>
    </xf>
    <xf numFmtId="0" fontId="8" fillId="4" borderId="0" xfId="0" applyFont="1" applyFill="1" applyAlignment="1" applyProtection="1">
      <alignment horizontal="left" wrapText="1" indent="1"/>
      <protection hidden="1"/>
    </xf>
    <xf numFmtId="0" fontId="3" fillId="4" borderId="0" xfId="0" applyFont="1" applyFill="1" applyAlignment="1" applyProtection="1">
      <alignment horizontal="left" vertical="top" wrapText="1"/>
      <protection hidden="1"/>
    </xf>
    <xf numFmtId="0" fontId="8" fillId="0" borderId="0" xfId="0" applyFont="1" applyAlignment="1" applyProtection="1">
      <alignment horizontal="center"/>
      <protection hidden="1"/>
    </xf>
    <xf numFmtId="0" fontId="3" fillId="0" borderId="1" xfId="0" applyFont="1" applyFill="1" applyBorder="1" applyAlignment="1" applyProtection="1">
      <alignment horizontal="left" wrapText="1"/>
      <protection hidden="1"/>
    </xf>
    <xf numFmtId="0" fontId="3" fillId="0" borderId="42" xfId="0" applyFont="1" applyFill="1" applyBorder="1" applyAlignment="1" applyProtection="1">
      <alignment horizontal="left" wrapText="1"/>
      <protection hidden="1"/>
    </xf>
    <xf numFmtId="0" fontId="10" fillId="2" borderId="41" xfId="0" applyFont="1" applyFill="1" applyBorder="1" applyAlignment="1" applyProtection="1">
      <alignment horizontal="left" vertical="center" wrapText="1"/>
      <protection hidden="1"/>
    </xf>
    <xf numFmtId="0" fontId="10" fillId="2" borderId="43" xfId="0" applyFont="1" applyFill="1" applyBorder="1" applyAlignment="1" applyProtection="1">
      <alignment horizontal="left" vertical="center" wrapText="1"/>
      <protection hidden="1"/>
    </xf>
    <xf numFmtId="0" fontId="10" fillId="2" borderId="39" xfId="0" applyFont="1" applyFill="1" applyBorder="1" applyAlignment="1" applyProtection="1">
      <alignment horizontal="left" vertical="center" wrapText="1"/>
      <protection hidden="1"/>
    </xf>
    <xf numFmtId="0" fontId="10" fillId="2" borderId="49" xfId="0" applyFont="1" applyFill="1" applyBorder="1" applyAlignment="1" applyProtection="1">
      <alignment horizontal="left" vertical="center" wrapText="1"/>
      <protection hidden="1"/>
    </xf>
    <xf numFmtId="0" fontId="10" fillId="2" borderId="36" xfId="0" applyFont="1" applyFill="1" applyBorder="1" applyAlignment="1" applyProtection="1">
      <alignment horizontal="left" vertical="center" wrapText="1"/>
      <protection hidden="1"/>
    </xf>
    <xf numFmtId="0" fontId="10" fillId="2" borderId="38"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center" wrapText="1"/>
      <protection hidden="1"/>
    </xf>
    <xf numFmtId="0" fontId="3" fillId="2" borderId="38" xfId="0" applyFont="1" applyFill="1" applyBorder="1" applyAlignment="1" applyProtection="1">
      <alignment horizontal="center" wrapText="1"/>
      <protection hidden="1"/>
    </xf>
    <xf numFmtId="0" fontId="3" fillId="2" borderId="72" xfId="0" applyFont="1" applyFill="1" applyBorder="1" applyAlignment="1" applyProtection="1">
      <alignment horizontal="center" wrapText="1"/>
      <protection hidden="1"/>
    </xf>
    <xf numFmtId="0" fontId="3" fillId="2" borderId="42" xfId="0" applyFont="1" applyFill="1" applyBorder="1" applyAlignment="1" applyProtection="1">
      <alignment horizontal="center" wrapText="1"/>
      <protection hidden="1"/>
    </xf>
    <xf numFmtId="0" fontId="10" fillId="0" borderId="41" xfId="0" applyFont="1" applyFill="1" applyBorder="1" applyAlignment="1" applyProtection="1">
      <alignment horizontal="left" wrapText="1"/>
      <protection hidden="1"/>
    </xf>
    <xf numFmtId="0" fontId="10" fillId="0" borderId="40" xfId="0" applyFont="1" applyFill="1" applyBorder="1" applyAlignment="1" applyProtection="1">
      <alignment horizontal="left" wrapText="1"/>
      <protection hidden="1"/>
    </xf>
    <xf numFmtId="0" fontId="10" fillId="0" borderId="39" xfId="0" applyFont="1" applyFill="1" applyBorder="1" applyAlignment="1" applyProtection="1">
      <alignment horizontal="left" wrapText="1"/>
      <protection hidden="1"/>
    </xf>
    <xf numFmtId="0" fontId="10" fillId="0" borderId="47" xfId="0" applyFont="1" applyFill="1" applyBorder="1" applyAlignment="1" applyProtection="1">
      <alignment horizontal="left" wrapText="1"/>
      <protection hidden="1"/>
    </xf>
    <xf numFmtId="0" fontId="31" fillId="0" borderId="36" xfId="0" applyFont="1" applyFill="1" applyBorder="1" applyAlignment="1" applyProtection="1">
      <alignment horizontal="left"/>
      <protection hidden="1"/>
    </xf>
    <xf numFmtId="0" fontId="31" fillId="0" borderId="35" xfId="0" applyFont="1" applyFill="1" applyBorder="1" applyAlignment="1" applyProtection="1">
      <alignment horizontal="left"/>
      <protection hidden="1"/>
    </xf>
    <xf numFmtId="0" fontId="21" fillId="0" borderId="0" xfId="0" applyFont="1" applyAlignment="1" applyProtection="1">
      <alignment horizontal="left" wrapText="1"/>
      <protection locked="0"/>
    </xf>
    <xf numFmtId="4" fontId="21" fillId="0" borderId="0" xfId="0" applyNumberFormat="1" applyFont="1" applyAlignment="1" applyProtection="1">
      <alignment horizontal="left" wrapText="1"/>
      <protection locked="0"/>
    </xf>
    <xf numFmtId="0" fontId="31" fillId="0" borderId="1" xfId="0" applyFont="1" applyFill="1" applyBorder="1" applyAlignment="1" applyProtection="1">
      <alignment horizontal="left"/>
      <protection hidden="1"/>
    </xf>
    <xf numFmtId="0" fontId="4" fillId="0" borderId="45" xfId="0" applyFont="1" applyFill="1" applyBorder="1" applyAlignment="1" applyProtection="1">
      <alignment horizontal="left"/>
      <protection hidden="1"/>
    </xf>
    <xf numFmtId="0" fontId="8" fillId="0" borderId="0" xfId="0" applyFont="1" applyFill="1" applyAlignment="1" applyProtection="1">
      <alignment horizontal="center"/>
      <protection hidden="1"/>
    </xf>
    <xf numFmtId="0" fontId="3" fillId="4" borderId="0" xfId="0" applyFont="1" applyFill="1" applyBorder="1" applyAlignment="1" applyProtection="1">
      <alignment horizontal="center"/>
      <protection hidden="1"/>
    </xf>
    <xf numFmtId="0" fontId="4" fillId="0" borderId="1" xfId="0" applyFont="1" applyBorder="1" applyAlignment="1" applyProtection="1">
      <protection hidden="1"/>
    </xf>
    <xf numFmtId="0" fontId="4" fillId="0" borderId="1" xfId="0" applyFont="1" applyFill="1" applyBorder="1" applyAlignment="1" applyProtection="1">
      <protection hidden="1"/>
    </xf>
    <xf numFmtId="0" fontId="17" fillId="0" borderId="1" xfId="0" applyFont="1" applyFill="1" applyBorder="1" applyAlignment="1" applyProtection="1">
      <alignment horizontal="left"/>
      <protection locked="0"/>
    </xf>
    <xf numFmtId="0" fontId="10" fillId="2" borderId="47" xfId="0" applyFont="1" applyFill="1" applyBorder="1" applyAlignment="1" applyProtection="1">
      <alignment horizontal="center" vertical="center"/>
      <protection hidden="1"/>
    </xf>
    <xf numFmtId="0" fontId="3" fillId="2" borderId="42" xfId="0" applyFont="1" applyFill="1" applyBorder="1" applyAlignment="1" applyProtection="1">
      <alignment horizontal="center" vertical="center"/>
      <protection hidden="1"/>
    </xf>
    <xf numFmtId="0" fontId="10" fillId="0" borderId="2" xfId="0" applyFont="1" applyFill="1" applyBorder="1" applyAlignment="1" applyProtection="1">
      <alignment horizontal="left" vertical="center"/>
      <protection hidden="1"/>
    </xf>
    <xf numFmtId="0" fontId="10" fillId="0" borderId="11" xfId="0" applyFont="1" applyFill="1" applyBorder="1" applyAlignment="1" applyProtection="1">
      <alignment horizontal="left" vertical="center"/>
      <protection hidden="1"/>
    </xf>
    <xf numFmtId="0" fontId="4" fillId="2" borderId="1" xfId="0" applyFont="1" applyFill="1" applyBorder="1" applyAlignment="1" applyProtection="1">
      <alignment horizontal="left" wrapText="1"/>
      <protection hidden="1"/>
    </xf>
    <xf numFmtId="0" fontId="4" fillId="2" borderId="36" xfId="0" applyFont="1" applyFill="1" applyBorder="1" applyAlignment="1" applyProtection="1">
      <alignment horizontal="left" wrapText="1"/>
      <protection hidden="1"/>
    </xf>
    <xf numFmtId="0" fontId="3" fillId="2" borderId="77" xfId="0" applyFont="1" applyFill="1" applyBorder="1" applyAlignment="1" applyProtection="1">
      <alignment horizontal="center" wrapText="1"/>
      <protection hidden="1"/>
    </xf>
    <xf numFmtId="0" fontId="3" fillId="2" borderId="37" xfId="0" applyFont="1" applyFill="1" applyBorder="1" applyAlignment="1" applyProtection="1">
      <alignment horizontal="center" wrapText="1"/>
      <protection hidden="1"/>
    </xf>
    <xf numFmtId="0" fontId="17" fillId="0" borderId="1" xfId="0" applyFont="1" applyFill="1" applyBorder="1" applyAlignment="1" applyProtection="1">
      <protection locked="0"/>
    </xf>
    <xf numFmtId="0" fontId="17" fillId="0" borderId="8" xfId="0" applyFont="1" applyFill="1" applyBorder="1" applyAlignment="1" applyProtection="1">
      <alignment horizontal="left"/>
      <protection locked="0"/>
    </xf>
    <xf numFmtId="9" fontId="3" fillId="7" borderId="11" xfId="0" applyNumberFormat="1" applyFont="1" applyFill="1" applyBorder="1" applyAlignment="1" applyProtection="1">
      <alignment horizontal="left" vertical="center" wrapText="1"/>
      <protection hidden="1"/>
    </xf>
    <xf numFmtId="9" fontId="3" fillId="7" borderId="15" xfId="0" applyNumberFormat="1" applyFont="1" applyFill="1" applyBorder="1" applyAlignment="1" applyProtection="1">
      <alignment horizontal="left" vertical="center" wrapText="1"/>
      <protection hidden="1"/>
    </xf>
    <xf numFmtId="0" fontId="4" fillId="0" borderId="32" xfId="0" applyFont="1" applyFill="1" applyBorder="1" applyAlignment="1" applyProtection="1">
      <alignment horizontal="left" vertical="center"/>
      <protection hidden="1"/>
    </xf>
    <xf numFmtId="0" fontId="4" fillId="0" borderId="0" xfId="0" applyFont="1" applyFill="1" applyBorder="1" applyAlignment="1" applyProtection="1">
      <alignment horizontal="left" vertical="center"/>
      <protection hidden="1"/>
    </xf>
    <xf numFmtId="0" fontId="3" fillId="7" borderId="32" xfId="0" applyFont="1" applyFill="1" applyBorder="1" applyAlignment="1" applyProtection="1">
      <alignment horizontal="left" vertical="center" wrapText="1"/>
      <protection hidden="1"/>
    </xf>
    <xf numFmtId="0" fontId="3" fillId="7" borderId="0" xfId="0" applyFont="1" applyFill="1" applyBorder="1" applyAlignment="1" applyProtection="1">
      <alignment horizontal="left" vertical="center" wrapText="1"/>
      <protection hidden="1"/>
    </xf>
    <xf numFmtId="0" fontId="3" fillId="7" borderId="33" xfId="0" applyFont="1" applyFill="1" applyBorder="1" applyAlignment="1" applyProtection="1">
      <alignment horizontal="left" vertical="center" wrapText="1"/>
      <protection hidden="1"/>
    </xf>
    <xf numFmtId="0" fontId="8" fillId="0" borderId="0" xfId="0" applyFont="1" applyFill="1" applyAlignment="1" applyProtection="1">
      <alignment horizontal="left" wrapText="1" indent="1"/>
      <protection locked="0"/>
    </xf>
    <xf numFmtId="0" fontId="4"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3" fillId="2" borderId="35" xfId="0" applyFont="1" applyFill="1" applyBorder="1" applyAlignment="1" applyProtection="1">
      <alignment horizontal="center" wrapText="1"/>
      <protection hidden="1"/>
    </xf>
    <xf numFmtId="0" fontId="10" fillId="2" borderId="47" xfId="0" applyFont="1" applyFill="1" applyBorder="1" applyAlignment="1" applyProtection="1">
      <alignment horizontal="left" vertical="center" wrapText="1"/>
      <protection hidden="1"/>
    </xf>
    <xf numFmtId="0" fontId="3" fillId="4" borderId="0" xfId="0" applyFont="1" applyFill="1" applyAlignment="1" applyProtection="1">
      <alignment horizontal="left" vertical="center" wrapText="1"/>
      <protection hidden="1"/>
    </xf>
    <xf numFmtId="0" fontId="7" fillId="2" borderId="44"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8" fillId="4" borderId="0" xfId="0" applyFont="1" applyFill="1" applyAlignment="1" applyProtection="1">
      <alignment horizontal="left" wrapText="1" indent="1"/>
      <protection locked="0"/>
    </xf>
    <xf numFmtId="0" fontId="3" fillId="0" borderId="0" xfId="0" applyFont="1" applyAlignment="1" applyProtection="1">
      <alignment horizontal="left" wrapText="1"/>
      <protection hidden="1"/>
    </xf>
    <xf numFmtId="43" fontId="3" fillId="0" borderId="1" xfId="0" applyNumberFormat="1" applyFont="1" applyBorder="1" applyAlignment="1" applyProtection="1">
      <alignment horizontal="left" vertical="top" wrapText="1"/>
      <protection hidden="1"/>
    </xf>
    <xf numFmtId="0" fontId="52" fillId="2" borderId="0" xfId="0" applyFont="1" applyFill="1" applyAlignment="1" applyProtection="1">
      <alignment horizontal="left" wrapText="1"/>
      <protection hidden="1"/>
    </xf>
    <xf numFmtId="0" fontId="3" fillId="0" borderId="34" xfId="0" applyFont="1" applyBorder="1" applyAlignment="1" applyProtection="1">
      <alignment horizontal="left"/>
      <protection hidden="1"/>
    </xf>
    <xf numFmtId="0" fontId="3" fillId="0" borderId="45" xfId="0" applyFont="1" applyBorder="1" applyAlignment="1" applyProtection="1">
      <alignment horizontal="left"/>
      <protection hidden="1"/>
    </xf>
    <xf numFmtId="0" fontId="3" fillId="0" borderId="34" xfId="0" applyFont="1" applyFill="1" applyBorder="1" applyAlignment="1" applyProtection="1">
      <alignment horizontal="left"/>
      <protection hidden="1"/>
    </xf>
    <xf numFmtId="0" fontId="3" fillId="0" borderId="35" xfId="0" applyFont="1" applyFill="1" applyBorder="1" applyAlignment="1" applyProtection="1">
      <alignment horizontal="left"/>
      <protection hidden="1"/>
    </xf>
    <xf numFmtId="0" fontId="8" fillId="0" borderId="32" xfId="0" applyFont="1" applyBorder="1" applyAlignment="1" applyProtection="1">
      <alignment horizontal="left" wrapText="1"/>
      <protection hidden="1"/>
    </xf>
    <xf numFmtId="0" fontId="8" fillId="0" borderId="0" xfId="0" applyFont="1" applyBorder="1" applyAlignment="1" applyProtection="1">
      <alignment horizontal="left" wrapText="1"/>
      <protection hidden="1"/>
    </xf>
    <xf numFmtId="0" fontId="8" fillId="0" borderId="4" xfId="0" applyFont="1" applyBorder="1" applyAlignment="1" applyProtection="1">
      <alignment horizontal="left" wrapText="1"/>
      <protection hidden="1"/>
    </xf>
    <xf numFmtId="0" fontId="8" fillId="0" borderId="12" xfId="0" applyFont="1" applyBorder="1" applyAlignment="1" applyProtection="1">
      <alignment horizontal="left" wrapText="1"/>
      <protection hidden="1"/>
    </xf>
    <xf numFmtId="0" fontId="52" fillId="2" borderId="12" xfId="0" applyFont="1" applyFill="1" applyBorder="1" applyAlignment="1" applyProtection="1">
      <alignment horizontal="center"/>
      <protection hidden="1"/>
    </xf>
    <xf numFmtId="0" fontId="3" fillId="0" borderId="0" xfId="0" applyFont="1" applyFill="1" applyAlignment="1" applyProtection="1">
      <alignment horizontal="center"/>
    </xf>
    <xf numFmtId="0" fontId="42" fillId="2" borderId="12" xfId="6" applyFill="1" applyBorder="1" applyAlignment="1" applyProtection="1">
      <alignment horizontal="left" vertical="center"/>
      <protection hidden="1"/>
    </xf>
    <xf numFmtId="0" fontId="23" fillId="2" borderId="38" xfId="0" applyFont="1" applyFill="1" applyBorder="1" applyAlignment="1" applyProtection="1">
      <alignment horizontal="center" wrapText="1"/>
      <protection hidden="1"/>
    </xf>
    <xf numFmtId="0" fontId="23" fillId="2" borderId="72" xfId="0" applyFont="1" applyFill="1" applyBorder="1" applyAlignment="1" applyProtection="1">
      <alignment horizontal="center" wrapText="1"/>
      <protection hidden="1"/>
    </xf>
    <xf numFmtId="0" fontId="23" fillId="2" borderId="42" xfId="0" applyFont="1" applyFill="1" applyBorder="1" applyAlignment="1" applyProtection="1">
      <alignment horizontal="center" wrapText="1"/>
      <protection hidden="1"/>
    </xf>
    <xf numFmtId="0" fontId="0" fillId="2" borderId="1" xfId="0" applyFill="1" applyBorder="1" applyAlignment="1" applyProtection="1">
      <alignment horizontal="left" wrapText="1"/>
      <protection hidden="1"/>
    </xf>
    <xf numFmtId="0" fontId="0" fillId="2" borderId="1" xfId="0" applyFill="1" applyBorder="1" applyAlignment="1" applyProtection="1">
      <alignment horizontal="right" wrapText="1"/>
      <protection hidden="1"/>
    </xf>
    <xf numFmtId="0" fontId="41" fillId="2" borderId="71" xfId="0" applyFont="1" applyFill="1" applyBorder="1" applyAlignment="1" applyProtection="1">
      <alignment horizontal="left" vertical="center" wrapText="1"/>
      <protection hidden="1"/>
    </xf>
    <xf numFmtId="0" fontId="0" fillId="0" borderId="41"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2" borderId="1" xfId="0" applyFill="1" applyBorder="1" applyAlignment="1" applyProtection="1">
      <alignment horizontal="right"/>
      <protection hidden="1"/>
    </xf>
    <xf numFmtId="0" fontId="0" fillId="11" borderId="44" xfId="0" applyFill="1" applyBorder="1" applyAlignment="1" applyProtection="1">
      <alignment horizontal="left" wrapText="1"/>
      <protection locked="0"/>
    </xf>
    <xf numFmtId="0" fontId="0" fillId="11" borderId="0" xfId="0" applyFill="1" applyBorder="1" applyAlignment="1" applyProtection="1">
      <alignment horizontal="left" wrapText="1"/>
      <protection locked="0"/>
    </xf>
    <xf numFmtId="0" fontId="0" fillId="0" borderId="0"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23" fillId="2" borderId="1" xfId="0" applyFont="1" applyFill="1" applyBorder="1" applyAlignment="1" applyProtection="1">
      <alignment horizontal="left"/>
      <protection hidden="1"/>
    </xf>
    <xf numFmtId="0" fontId="0" fillId="6" borderId="73" xfId="2" applyFont="1" applyBorder="1" applyAlignment="1" applyProtection="1">
      <alignment horizontal="left"/>
      <protection locked="0"/>
    </xf>
    <xf numFmtId="0" fontId="0" fillId="6" borderId="0" xfId="2" applyFont="1" applyBorder="1" applyAlignment="1" applyProtection="1">
      <alignment horizontal="left"/>
      <protection locked="0"/>
    </xf>
    <xf numFmtId="0" fontId="0" fillId="6" borderId="48" xfId="2" applyFont="1" applyBorder="1" applyAlignment="1" applyProtection="1">
      <alignment horizontal="left"/>
      <protection locked="0"/>
    </xf>
    <xf numFmtId="0" fontId="0" fillId="6" borderId="75" xfId="2" applyFont="1" applyBorder="1" applyAlignment="1" applyProtection="1">
      <alignment horizontal="left"/>
      <protection locked="0"/>
    </xf>
    <xf numFmtId="0" fontId="0" fillId="6" borderId="40" xfId="2" applyFont="1" applyBorder="1" applyAlignment="1" applyProtection="1">
      <alignment horizontal="left"/>
      <protection locked="0"/>
    </xf>
    <xf numFmtId="0" fontId="0" fillId="6" borderId="18" xfId="2" applyFont="1" applyAlignment="1" applyProtection="1">
      <alignment horizontal="left"/>
      <protection locked="0"/>
    </xf>
    <xf numFmtId="0" fontId="0" fillId="2" borderId="12" xfId="0" applyFill="1" applyBorder="1" applyAlignment="1" applyProtection="1">
      <alignment horizontal="left" vertical="center" wrapText="1"/>
      <protection hidden="1"/>
    </xf>
    <xf numFmtId="0" fontId="0" fillId="2" borderId="0" xfId="0" applyFill="1" applyBorder="1" applyAlignment="1" applyProtection="1">
      <alignment horizontal="left" wrapText="1"/>
      <protection hidden="1"/>
    </xf>
    <xf numFmtId="164" fontId="42" fillId="0" borderId="44" xfId="6" applyNumberFormat="1" applyBorder="1" applyAlignment="1" applyProtection="1">
      <alignment horizontal="center" vertical="top"/>
      <protection locked="0"/>
    </xf>
    <xf numFmtId="164" fontId="0" fillId="0" borderId="0" xfId="0" applyNumberFormat="1" applyBorder="1" applyAlignment="1" applyProtection="1">
      <alignment horizontal="center" vertical="top"/>
      <protection locked="0"/>
    </xf>
    <xf numFmtId="164" fontId="0" fillId="0" borderId="50" xfId="0" applyNumberFormat="1" applyBorder="1" applyAlignment="1" applyProtection="1">
      <alignment horizontal="center" vertical="top"/>
      <protection locked="0"/>
    </xf>
    <xf numFmtId="0" fontId="0" fillId="2" borderId="44" xfId="0" applyFill="1" applyBorder="1" applyAlignment="1" applyProtection="1">
      <alignment horizontal="center"/>
      <protection hidden="1"/>
    </xf>
    <xf numFmtId="0" fontId="0" fillId="2" borderId="0" xfId="0" applyFill="1" applyBorder="1" applyAlignment="1" applyProtection="1">
      <alignment horizontal="center"/>
      <protection hidden="1"/>
    </xf>
    <xf numFmtId="0" fontId="0" fillId="2" borderId="11" xfId="0" applyFill="1" applyBorder="1" applyAlignment="1" applyProtection="1">
      <alignment horizontal="left" wrapText="1"/>
      <protection hidden="1"/>
    </xf>
    <xf numFmtId="0" fontId="0" fillId="2" borderId="71" xfId="0" applyFill="1" applyBorder="1" applyAlignment="1" applyProtection="1">
      <alignment horizontal="left" wrapText="1"/>
      <protection hidden="1"/>
    </xf>
    <xf numFmtId="0" fontId="15" fillId="9" borderId="47" xfId="4" applyFont="1" applyBorder="1" applyAlignment="1" applyProtection="1">
      <alignment horizontal="center" wrapText="1"/>
      <protection hidden="1"/>
    </xf>
    <xf numFmtId="10" fontId="15" fillId="9" borderId="39" xfId="4" applyNumberFormat="1" applyFont="1" applyBorder="1" applyAlignment="1" applyProtection="1">
      <alignment horizontal="center"/>
      <protection hidden="1"/>
    </xf>
    <xf numFmtId="10" fontId="15" fillId="9" borderId="47" xfId="4" applyNumberFormat="1" applyFont="1" applyBorder="1" applyAlignment="1" applyProtection="1">
      <alignment horizontal="center"/>
      <protection hidden="1"/>
    </xf>
    <xf numFmtId="0" fontId="3" fillId="6" borderId="26" xfId="2" applyFont="1" applyBorder="1" applyAlignment="1" applyProtection="1">
      <alignment horizontal="center"/>
      <protection hidden="1"/>
    </xf>
    <xf numFmtId="0" fontId="3" fillId="6" borderId="27" xfId="2" applyFont="1" applyBorder="1" applyAlignment="1" applyProtection="1">
      <alignment horizontal="center"/>
      <protection hidden="1"/>
    </xf>
    <xf numFmtId="0" fontId="3" fillId="6" borderId="55" xfId="2" applyFont="1" applyBorder="1" applyAlignment="1" applyProtection="1">
      <alignment horizontal="center"/>
      <protection hidden="1"/>
    </xf>
    <xf numFmtId="0" fontId="3" fillId="6" borderId="56" xfId="2" applyFont="1" applyBorder="1" applyAlignment="1" applyProtection="1">
      <alignment horizontal="center"/>
      <protection hidden="1"/>
    </xf>
    <xf numFmtId="0" fontId="3" fillId="6" borderId="57" xfId="2" applyFont="1" applyBorder="1" applyAlignment="1" applyProtection="1">
      <alignment horizontal="center"/>
      <protection hidden="1"/>
    </xf>
    <xf numFmtId="0" fontId="3" fillId="6" borderId="18" xfId="2" applyFont="1" applyBorder="1" applyAlignment="1" applyProtection="1">
      <alignment horizontal="center"/>
      <protection hidden="1"/>
    </xf>
    <xf numFmtId="0" fontId="3" fillId="6" borderId="28" xfId="2" applyFont="1" applyBorder="1" applyAlignment="1" applyProtection="1">
      <alignment horizontal="center"/>
      <protection hidden="1"/>
    </xf>
    <xf numFmtId="0" fontId="42" fillId="6" borderId="25" xfId="6" applyFill="1" applyBorder="1" applyAlignment="1" applyProtection="1">
      <alignment horizontal="center"/>
      <protection hidden="1"/>
    </xf>
    <xf numFmtId="0" fontId="3" fillId="6" borderId="25" xfId="2" applyFont="1" applyBorder="1" applyAlignment="1" applyProtection="1">
      <alignment horizontal="center"/>
      <protection hidden="1"/>
    </xf>
    <xf numFmtId="0" fontId="3" fillId="6" borderId="29" xfId="2" applyFont="1" applyBorder="1" applyAlignment="1" applyProtection="1">
      <alignment horizontal="center"/>
      <protection hidden="1"/>
    </xf>
    <xf numFmtId="0" fontId="3" fillId="6" borderId="26" xfId="2" applyFont="1" applyBorder="1" applyAlignment="1" applyProtection="1">
      <alignment horizontal="center" vertical="top" wrapText="1"/>
      <protection hidden="1"/>
    </xf>
    <xf numFmtId="0" fontId="3" fillId="0" borderId="32" xfId="0" applyFont="1" applyBorder="1" applyAlignment="1" applyProtection="1">
      <alignment horizontal="left" vertical="center" indent="1"/>
      <protection hidden="1"/>
    </xf>
    <xf numFmtId="0" fontId="3" fillId="0" borderId="0" xfId="0" applyFont="1" applyBorder="1" applyAlignment="1" applyProtection="1">
      <alignment horizontal="left" vertical="center" indent="1"/>
      <protection hidden="1"/>
    </xf>
    <xf numFmtId="0" fontId="3" fillId="0" borderId="0" xfId="0" applyFont="1" applyFill="1" applyAlignment="1" applyProtection="1">
      <alignment horizontal="left" indent="1"/>
      <protection hidden="1"/>
    </xf>
    <xf numFmtId="0" fontId="4" fillId="0" borderId="1" xfId="0" applyFont="1" applyBorder="1" applyAlignment="1" applyProtection="1">
      <alignment horizontal="center" wrapText="1"/>
      <protection hidden="1"/>
    </xf>
    <xf numFmtId="0" fontId="15" fillId="9" borderId="1" xfId="4" applyFont="1" applyBorder="1" applyAlignment="1" applyProtection="1">
      <protection hidden="1"/>
    </xf>
    <xf numFmtId="4" fontId="3" fillId="0" borderId="1" xfId="0" applyNumberFormat="1" applyFont="1" applyBorder="1" applyAlignment="1" applyProtection="1">
      <alignment horizontal="center" vertical="center"/>
      <protection hidden="1"/>
    </xf>
    <xf numFmtId="2" fontId="3" fillId="0" borderId="1" xfId="0" applyNumberFormat="1" applyFont="1" applyBorder="1" applyAlignment="1" applyProtection="1">
      <alignment horizontal="center" vertical="center"/>
      <protection hidden="1"/>
    </xf>
    <xf numFmtId="0" fontId="15" fillId="9" borderId="1" xfId="4" applyFont="1" applyBorder="1" applyAlignment="1" applyProtection="1">
      <alignment horizontal="center"/>
      <protection hidden="1"/>
    </xf>
    <xf numFmtId="0" fontId="28" fillId="0" borderId="0" xfId="0" applyFont="1" applyAlignment="1" applyProtection="1">
      <alignment horizontal="left" vertical="center" wrapText="1"/>
      <protection hidden="1"/>
    </xf>
    <xf numFmtId="0" fontId="3" fillId="0" borderId="47" xfId="0" applyFont="1" applyBorder="1" applyAlignment="1" applyProtection="1">
      <alignment horizontal="left" wrapText="1"/>
      <protection hidden="1"/>
    </xf>
    <xf numFmtId="0" fontId="4" fillId="3" borderId="40" xfId="0" applyFont="1" applyFill="1" applyBorder="1" applyAlignment="1" applyProtection="1">
      <alignment horizontal="center"/>
      <protection hidden="1"/>
    </xf>
    <xf numFmtId="4" fontId="15" fillId="2" borderId="44" xfId="4" applyNumberFormat="1" applyFont="1" applyFill="1" applyBorder="1" applyAlignment="1" applyProtection="1">
      <alignment horizontal="left"/>
      <protection hidden="1"/>
    </xf>
    <xf numFmtId="4" fontId="15" fillId="2" borderId="0" xfId="4" applyNumberFormat="1" applyFont="1" applyFill="1" applyAlignment="1" applyProtection="1">
      <alignment horizontal="left"/>
      <protection hidden="1"/>
    </xf>
    <xf numFmtId="0" fontId="15" fillId="2" borderId="44" xfId="4" applyFont="1" applyFill="1" applyBorder="1" applyAlignment="1" applyProtection="1">
      <alignment horizontal="left"/>
      <protection hidden="1"/>
    </xf>
    <xf numFmtId="0" fontId="15" fillId="2" borderId="0" xfId="4" applyFont="1" applyFill="1" applyAlignment="1" applyProtection="1">
      <alignment horizontal="left"/>
      <protection hidden="1"/>
    </xf>
    <xf numFmtId="14" fontId="15" fillId="9" borderId="1" xfId="4" applyNumberFormat="1" applyFont="1" applyBorder="1" applyAlignment="1" applyProtection="1">
      <alignment horizontal="center"/>
      <protection hidden="1"/>
    </xf>
    <xf numFmtId="0" fontId="3" fillId="15" borderId="1" xfId="0" applyFont="1" applyFill="1" applyBorder="1" applyAlignment="1" applyProtection="1">
      <alignment horizontal="center" wrapText="1"/>
      <protection hidden="1"/>
    </xf>
    <xf numFmtId="0" fontId="4" fillId="12" borderId="1" xfId="0" applyFont="1" applyFill="1" applyBorder="1" applyAlignment="1" applyProtection="1">
      <alignment horizontal="center" wrapText="1"/>
      <protection hidden="1"/>
    </xf>
    <xf numFmtId="0" fontId="4" fillId="16" borderId="1" xfId="0" applyFont="1" applyFill="1" applyBorder="1" applyAlignment="1" applyProtection="1">
      <alignment horizontal="center" wrapText="1"/>
      <protection hidden="1"/>
    </xf>
    <xf numFmtId="0" fontId="4" fillId="13" borderId="1" xfId="0" applyFont="1" applyFill="1" applyBorder="1" applyAlignment="1" applyProtection="1">
      <alignment horizontal="center" wrapText="1"/>
      <protection hidden="1"/>
    </xf>
    <xf numFmtId="4" fontId="9" fillId="5" borderId="17" xfId="1" applyNumberFormat="1" applyFont="1" applyBorder="1" applyAlignment="1" applyProtection="1">
      <alignment horizontal="center" wrapText="1"/>
      <protection hidden="1"/>
    </xf>
  </cellXfs>
  <cellStyles count="7">
    <cellStyle name="Accent1" xfId="4" builtinId="29"/>
    <cellStyle name="Calculation" xfId="1" builtinId="22"/>
    <cellStyle name="Check Cell" xfId="5" builtinId="23"/>
    <cellStyle name="Hyperlink" xfId="6" builtinId="8"/>
    <cellStyle name="Input" xfId="3" builtinId="20"/>
    <cellStyle name="Normal" xfId="0" builtinId="0"/>
    <cellStyle name="Note" xfId="2" builtinId="10"/>
  </cellStyles>
  <dxfs count="216">
    <dxf>
      <font>
        <color theme="0" tint="-0.24994659260841701"/>
      </font>
      <fill>
        <patternFill>
          <bgColor theme="0" tint="-0.24994659260841701"/>
        </patternFill>
      </fill>
      <border>
        <left/>
        <right/>
        <top/>
        <bottom/>
      </border>
    </dxf>
    <dxf>
      <font>
        <color rgb="FFFFFFCC"/>
      </font>
    </dxf>
    <dxf>
      <fill>
        <patternFill>
          <bgColor rgb="FFFFFF00"/>
        </patternFill>
      </fill>
    </dxf>
    <dxf>
      <font>
        <color auto="1"/>
      </font>
      <fill>
        <patternFill>
          <bgColor rgb="FFFFFF00"/>
        </patternFill>
      </fill>
    </dxf>
    <dxf>
      <font>
        <color theme="1"/>
      </font>
      <fill>
        <patternFill>
          <bgColor theme="0"/>
        </patternFill>
      </fill>
    </dxf>
    <dxf>
      <font>
        <color theme="0" tint="-0.24994659260841701"/>
      </font>
      <fill>
        <patternFill>
          <bgColor theme="0" tint="-0.24994659260841701"/>
        </patternFill>
      </fill>
      <border>
        <left/>
        <right/>
        <top/>
        <bottom/>
      </border>
    </dxf>
    <dxf>
      <font>
        <color theme="0" tint="-0.24994659260841701"/>
      </font>
      <fill>
        <patternFill>
          <bgColor theme="0" tint="-0.24994659260841701"/>
        </patternFill>
      </fill>
      <border>
        <left/>
        <right/>
        <top/>
        <bottom/>
      </border>
    </dxf>
    <dxf>
      <font>
        <color rgb="FFFF0000"/>
      </font>
      <fill>
        <patternFill>
          <bgColor rgb="FFFFAFAF"/>
        </patternFill>
      </fill>
    </dxf>
    <dxf>
      <font>
        <color theme="5" tint="-0.24994659260841701"/>
      </font>
      <fill>
        <patternFill>
          <bgColor rgb="FFF3AA79"/>
        </patternFill>
      </fill>
    </dxf>
    <dxf>
      <font>
        <b/>
        <i val="0"/>
        <color theme="1"/>
      </font>
      <fill>
        <patternFill>
          <bgColor theme="0" tint="-4.9989318521683403E-2"/>
        </patternFill>
      </fill>
    </dxf>
    <dxf>
      <font>
        <b/>
        <i val="0"/>
        <color rgb="FFFF0000"/>
      </font>
      <fill>
        <patternFill>
          <bgColor rgb="FFFFA3A3"/>
        </patternFill>
      </fill>
    </dxf>
    <dxf>
      <font>
        <color theme="5" tint="-0.24994659260841701"/>
      </font>
      <fill>
        <patternFill>
          <bgColor theme="5" tint="0.59996337778862885"/>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0" tint="-0.24994659260841701"/>
      </font>
      <fill>
        <patternFill>
          <bgColor theme="0" tint="-0.24994659260841701"/>
        </patternFill>
      </fill>
      <border>
        <left/>
        <right/>
        <top/>
        <bottom/>
      </border>
    </dxf>
    <dxf>
      <font>
        <color theme="0" tint="-0.24994659260841701"/>
      </font>
      <fill>
        <patternFill>
          <bgColor theme="0" tint="-0.24994659260841701"/>
        </patternFill>
      </fill>
      <border>
        <left/>
        <right/>
        <top/>
        <bottom/>
      </border>
    </dxf>
    <dxf>
      <fill>
        <patternFill>
          <bgColor rgb="FFFF5050"/>
        </patternFill>
      </fill>
    </dxf>
    <dxf>
      <fill>
        <patternFill>
          <bgColor rgb="FFFF3300"/>
        </patternFill>
      </fill>
    </dxf>
    <dxf>
      <fill>
        <patternFill>
          <bgColor theme="7" tint="0.79998168889431442"/>
        </patternFill>
      </fill>
    </dxf>
    <dxf>
      <font>
        <color rgb="FFFFFFCC"/>
      </font>
    </dxf>
    <dxf>
      <fill>
        <patternFill>
          <bgColor rgb="FFFFFF00"/>
        </patternFill>
      </fill>
    </dxf>
    <dxf>
      <font>
        <color auto="1"/>
      </font>
      <fill>
        <patternFill>
          <bgColor rgb="FFFFFF00"/>
        </patternFill>
      </fill>
    </dxf>
    <dxf>
      <font>
        <color theme="1"/>
      </font>
      <fill>
        <patternFill>
          <bgColor theme="0"/>
        </patternFill>
      </fill>
    </dxf>
    <dxf>
      <font>
        <color theme="0" tint="-0.24994659260841701"/>
      </font>
      <fill>
        <patternFill>
          <bgColor theme="0" tint="-0.24994659260841701"/>
        </patternFill>
      </fill>
      <border>
        <left/>
        <right/>
        <top/>
        <bottom/>
      </border>
    </dxf>
    <dxf>
      <font>
        <color theme="0" tint="-0.24994659260841701"/>
      </font>
      <fill>
        <patternFill>
          <bgColor theme="0" tint="-0.24994659260841701"/>
        </patternFill>
      </fill>
      <border>
        <left/>
        <right/>
        <top/>
        <bottom/>
      </border>
    </dxf>
    <dxf>
      <font>
        <color rgb="FFFF0000"/>
      </font>
      <fill>
        <patternFill>
          <bgColor rgb="FFFFAFAF"/>
        </patternFill>
      </fill>
    </dxf>
    <dxf>
      <font>
        <color theme="5" tint="-0.24994659260841701"/>
      </font>
      <fill>
        <patternFill>
          <bgColor rgb="FFF3AA79"/>
        </patternFill>
      </fill>
    </dxf>
    <dxf>
      <font>
        <b/>
        <i val="0"/>
        <color theme="1"/>
      </font>
      <fill>
        <patternFill>
          <bgColor theme="0" tint="-4.9989318521683403E-2"/>
        </patternFill>
      </fill>
    </dxf>
    <dxf>
      <font>
        <b/>
        <i val="0"/>
        <color rgb="FFFF0000"/>
      </font>
      <fill>
        <patternFill>
          <bgColor rgb="FFFFA3A3"/>
        </patternFill>
      </fill>
    </dxf>
    <dxf>
      <font>
        <color theme="5" tint="-0.24994659260841701"/>
      </font>
      <fill>
        <patternFill>
          <bgColor theme="5" tint="0.59996337778862885"/>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5" tint="-0.24994659260841701"/>
      </font>
      <fill>
        <patternFill>
          <bgColor rgb="FFF3AA79"/>
        </patternFill>
      </fill>
    </dxf>
    <dxf>
      <font>
        <color rgb="FFFF0000"/>
      </font>
      <fill>
        <patternFill>
          <bgColor rgb="FFFFAFAF"/>
        </patternFill>
      </fill>
    </dxf>
    <dxf>
      <font>
        <color theme="0" tint="-0.24994659260841701"/>
      </font>
      <fill>
        <patternFill>
          <bgColor theme="0" tint="-0.24994659260841701"/>
        </patternFill>
      </fill>
      <border>
        <left/>
        <right/>
        <top/>
        <bottom/>
      </border>
    </dxf>
    <dxf>
      <font>
        <color theme="0" tint="-0.24994659260841701"/>
      </font>
      <fill>
        <patternFill>
          <bgColor theme="0" tint="-0.24994659260841701"/>
        </patternFill>
      </fill>
      <border>
        <left/>
        <right/>
        <top/>
        <bottom/>
      </border>
    </dxf>
    <dxf>
      <fill>
        <patternFill>
          <bgColor rgb="FFFF5050"/>
        </patternFill>
      </fill>
    </dxf>
    <dxf>
      <fill>
        <patternFill>
          <bgColor rgb="FFFF3300"/>
        </patternFill>
      </fill>
    </dxf>
    <dxf>
      <fill>
        <patternFill>
          <bgColor theme="7" tint="0.79998168889431442"/>
        </patternFill>
      </fill>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border>
        <top style="thin">
          <color auto="1"/>
        </top>
        <vertical/>
        <horizontal/>
      </border>
    </dxf>
    <dxf>
      <font>
        <color theme="0" tint="-0.14996795556505021"/>
      </font>
      <fill>
        <patternFill>
          <bgColor theme="0" tint="-0.14996795556505021"/>
        </patternFill>
      </fill>
      <border>
        <left/>
        <right/>
        <top/>
        <bottom/>
        <vertical/>
        <horizontal/>
      </border>
    </dxf>
    <dxf>
      <fill>
        <patternFill patternType="solid">
          <fgColor indexed="64"/>
          <bgColor rgb="FFFFFFCC"/>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FFFFCC"/>
        </patternFill>
      </fill>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FFFFCC"/>
        </patternFill>
      </fill>
      <protection locked="0" hidden="0"/>
    </dxf>
    <dxf>
      <border>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theme="0"/>
      </font>
    </dxf>
    <dxf>
      <font>
        <color theme="0"/>
      </font>
    </dxf>
    <dxf>
      <font>
        <b/>
        <i val="0"/>
        <color rgb="FFFF0000"/>
      </font>
    </dxf>
    <dxf>
      <font>
        <b/>
        <i val="0"/>
        <color rgb="FFFF0000"/>
      </font>
    </dxf>
    <dxf>
      <border>
        <left style="thin">
          <color auto="1"/>
        </left>
        <vertical/>
        <horizontal/>
      </border>
    </dxf>
    <dxf>
      <border>
        <top style="thin">
          <color auto="1"/>
        </top>
        <vertical/>
        <horizontal/>
      </border>
    </dxf>
    <dxf>
      <border>
        <left style="thin">
          <color auto="1"/>
        </left>
        <top style="thin">
          <color auto="1"/>
        </top>
        <vertical/>
        <horizontal/>
      </border>
    </dxf>
    <dxf>
      <font>
        <color rgb="FFFFFFFF"/>
      </font>
    </dxf>
    <dxf>
      <border>
        <left style="thin">
          <color auto="1"/>
        </left>
        <right style="thin">
          <color auto="1"/>
        </right>
        <top style="thin">
          <color auto="1"/>
        </top>
        <bottom style="thin">
          <color auto="1"/>
        </bottom>
        <vertical/>
        <horizontal/>
      </border>
    </dxf>
    <dxf>
      <font>
        <color theme="0" tint="-0.24994659260841701"/>
      </font>
    </dxf>
    <dxf>
      <font>
        <color theme="0"/>
      </font>
      <fill>
        <patternFill>
          <bgColor theme="0"/>
        </patternFill>
      </fill>
      <border>
        <left/>
        <right/>
        <top/>
        <bottom/>
        <vertical/>
        <horizontal/>
      </border>
    </dxf>
    <dxf>
      <font>
        <color theme="0" tint="-0.24994659260841701"/>
      </font>
      <fill>
        <patternFill>
          <bgColor theme="0" tint="-0.24994659260841701"/>
        </patternFill>
      </fill>
      <border>
        <left/>
        <right/>
        <top/>
        <bottom/>
        <vertical/>
        <horizontal/>
      </border>
    </dxf>
    <dxf>
      <font>
        <color theme="1"/>
      </font>
      <fill>
        <patternFill>
          <bgColor rgb="FFFFFFCC"/>
        </patternFill>
      </fill>
    </dxf>
    <dxf>
      <fill>
        <patternFill>
          <bgColor rgb="FFFF0000"/>
        </patternFill>
      </fill>
    </dxf>
    <dxf>
      <fill>
        <patternFill>
          <bgColor rgb="FFFF0000"/>
        </patternFill>
      </fill>
    </dxf>
    <dxf>
      <fill>
        <patternFill>
          <bgColor theme="0" tint="-0.24994659260841701"/>
        </patternFill>
      </fill>
    </dxf>
    <dxf>
      <font>
        <b/>
        <i val="0"/>
        <color theme="5" tint="-0.24994659260841701"/>
      </font>
      <fill>
        <patternFill>
          <bgColor theme="5" tint="0.59996337778862885"/>
        </patternFill>
      </fill>
    </dxf>
    <dxf>
      <font>
        <b/>
        <i val="0"/>
        <color rgb="FFFF0000"/>
      </font>
      <fill>
        <patternFill>
          <bgColor rgb="FFFFA3A3"/>
        </patternFill>
      </fill>
    </dxf>
    <dxf>
      <font>
        <color rgb="FFC65911"/>
      </font>
      <fill>
        <patternFill>
          <bgColor rgb="FFF3AA78"/>
        </patternFill>
      </fill>
    </dxf>
    <dxf>
      <font>
        <color rgb="FFFF0000"/>
      </font>
      <fill>
        <patternFill>
          <bgColor rgb="FFFFAFAF"/>
        </patternFill>
      </fill>
    </dxf>
    <dxf>
      <font>
        <color theme="1"/>
      </font>
      <fill>
        <patternFill>
          <bgColor rgb="FFFFFFCC"/>
        </patternFill>
      </fill>
    </dxf>
    <dxf>
      <font>
        <color rgb="FFC65911"/>
      </font>
      <fill>
        <patternFill>
          <bgColor rgb="FFF3AA78"/>
        </patternFill>
      </fill>
    </dxf>
    <dxf>
      <font>
        <color rgb="FFFF0000"/>
      </font>
      <fill>
        <patternFill>
          <bgColor rgb="FFFFAFAF"/>
        </patternFill>
      </fill>
    </dxf>
    <dxf>
      <font>
        <color theme="0" tint="-0.24994659260841701"/>
      </font>
      <fill>
        <patternFill>
          <bgColor theme="0" tint="-0.24994659260841701"/>
        </patternFill>
      </fill>
      <border>
        <left/>
        <right/>
        <top/>
        <bottom/>
        <vertical/>
        <horizontal/>
      </border>
    </dxf>
    <dxf>
      <fill>
        <patternFill>
          <bgColor theme="0" tint="-0.24994659260841701"/>
        </patternFill>
      </fill>
    </dxf>
    <dxf>
      <font>
        <color rgb="FFC65911"/>
      </font>
      <fill>
        <patternFill>
          <bgColor rgb="FFF3AA78"/>
        </patternFill>
      </fill>
    </dxf>
    <dxf>
      <font>
        <color rgb="FFFF0000"/>
      </font>
      <fill>
        <patternFill>
          <bgColor rgb="FFFFAFAF"/>
        </patternFill>
      </fill>
    </dxf>
    <dxf>
      <font>
        <color rgb="FFC65911"/>
      </font>
      <fill>
        <patternFill>
          <bgColor rgb="FFF3AA78"/>
        </patternFill>
      </fill>
    </dxf>
    <dxf>
      <font>
        <color rgb="FFFF0000"/>
      </font>
      <fill>
        <patternFill>
          <bgColor rgb="FFFFAFAF"/>
        </patternFill>
      </fill>
    </dxf>
    <dxf>
      <font>
        <color rgb="FFC65911"/>
      </font>
      <fill>
        <patternFill>
          <bgColor rgb="FFF3AA78"/>
        </patternFill>
      </fill>
    </dxf>
    <dxf>
      <font>
        <color rgb="FFFF0000"/>
      </font>
      <fill>
        <patternFill>
          <bgColor rgb="FFFFAFAF"/>
        </patternFill>
      </fill>
    </dxf>
    <dxf>
      <font>
        <color theme="0" tint="-0.24994659260841701"/>
      </font>
      <fill>
        <patternFill>
          <bgColor theme="0" tint="-0.24994659260841701"/>
        </patternFill>
      </fill>
      <border>
        <left style="thin">
          <color auto="1"/>
        </left>
        <vertical/>
        <horizontal/>
      </border>
    </dxf>
    <dxf>
      <font>
        <color theme="0" tint="-0.24994659260841701"/>
      </font>
      <fill>
        <patternFill>
          <bgColor theme="0" tint="-0.24994659260841701"/>
        </patternFill>
      </fill>
      <border>
        <left style="thin">
          <color auto="1"/>
        </left>
        <top style="thin">
          <color auto="1"/>
        </top>
        <vertical/>
        <horizontal/>
      </border>
    </dxf>
    <dxf>
      <font>
        <color theme="0" tint="-0.24994659260841701"/>
      </font>
      <fill>
        <patternFill>
          <bgColor theme="0" tint="-0.24994659260841701"/>
        </patternFill>
      </fill>
      <border>
        <top style="thin">
          <color auto="1"/>
        </top>
        <vertical/>
        <horizontal/>
      </border>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style="thin">
          <color auto="1"/>
        </left>
        <vertical/>
        <horizontal/>
      </border>
    </dxf>
    <dxf>
      <font>
        <color theme="0" tint="-0.24994659260841701"/>
      </font>
      <fill>
        <patternFill>
          <bgColor theme="0" tint="-0.24994659260841701"/>
        </patternFill>
      </fill>
      <border>
        <top style="thin">
          <color auto="1"/>
        </top>
        <vertical/>
        <horizontal/>
      </border>
    </dxf>
    <dxf>
      <font>
        <color theme="0" tint="-0.24994659260841701"/>
      </font>
      <fill>
        <patternFill>
          <bgColor theme="0" tint="-0.24994659260841701"/>
        </patternFill>
      </fill>
      <border>
        <left style="thin">
          <color auto="1"/>
        </left>
        <top style="thin">
          <color auto="1"/>
        </top>
        <vertical/>
        <horizontal/>
      </border>
    </dxf>
    <dxf>
      <font>
        <color rgb="FFFFFFFF"/>
      </font>
    </dxf>
    <dxf>
      <border>
        <left style="thin">
          <color auto="1"/>
        </left>
        <right style="thin">
          <color auto="1"/>
        </right>
        <top style="thin">
          <color auto="1"/>
        </top>
        <bottom style="thin">
          <color auto="1"/>
        </bottom>
        <vertical/>
        <horizontal/>
      </border>
    </dxf>
    <dxf>
      <font>
        <color theme="0" tint="-0.24994659260841701"/>
      </font>
    </dxf>
    <dxf>
      <font>
        <color theme="0" tint="-0.24994659260841701"/>
      </font>
      <fill>
        <patternFill>
          <bgColor theme="0" tint="-0.24994659260841701"/>
        </patternFill>
      </fill>
      <border>
        <left/>
        <right/>
        <top/>
        <bottom/>
        <vertical/>
        <horizontal/>
      </border>
    </dxf>
    <dxf>
      <font>
        <b/>
        <i val="0"/>
        <color rgb="FFFF0000"/>
      </font>
      <fill>
        <patternFill>
          <bgColor rgb="FFFFAFAF"/>
        </patternFill>
      </fill>
    </dxf>
    <dxf>
      <font>
        <b/>
        <i val="0"/>
        <color rgb="FFC65911"/>
      </font>
      <fill>
        <patternFill>
          <bgColor rgb="FFF3AA79"/>
        </patternFill>
      </fill>
    </dxf>
    <dxf>
      <fill>
        <patternFill>
          <bgColor theme="0" tint="-0.24994659260841701"/>
        </patternFill>
      </fill>
      <border>
        <left/>
        <right/>
        <top/>
        <bottom/>
        <vertical/>
        <horizontal/>
      </border>
    </dxf>
    <dxf>
      <font>
        <color theme="1"/>
      </font>
      <fill>
        <patternFill patternType="solid">
          <bgColor rgb="FFFFFFCC"/>
        </patternFill>
      </fill>
      <border>
        <left style="thin">
          <color auto="1"/>
        </left>
        <right style="thin">
          <color auto="1"/>
        </right>
        <top style="thin">
          <color auto="1"/>
        </top>
        <bottom style="thin">
          <color auto="1"/>
        </bottom>
        <vertical/>
        <horizontal/>
      </border>
    </dxf>
    <dxf>
      <fill>
        <patternFill>
          <bgColor rgb="FFFF0000"/>
        </patternFill>
      </fill>
    </dxf>
    <dxf>
      <border>
        <left style="thin">
          <color auto="1"/>
        </left>
        <vertical/>
        <horizontal/>
      </border>
    </dxf>
    <dxf>
      <font>
        <color theme="0" tint="-0.24994659260841701"/>
      </font>
      <fill>
        <patternFill>
          <bgColor theme="0" tint="-0.24994659260841701"/>
        </patternFill>
      </fill>
      <border>
        <left/>
        <right/>
        <top/>
        <bottom/>
      </border>
    </dxf>
    <dxf>
      <font>
        <color theme="0" tint="-0.24994659260841701"/>
      </font>
      <fill>
        <patternFill>
          <bgColor theme="0" tint="-0.24994659260841701"/>
        </patternFill>
      </fill>
      <border>
        <left/>
        <right/>
        <top/>
        <bottom/>
      </border>
    </dxf>
    <dxf>
      <font>
        <color theme="0" tint="-0.24994659260841701"/>
      </font>
      <fill>
        <patternFill>
          <bgColor theme="0" tint="-0.24994659260841701"/>
        </patternFill>
      </fill>
      <border>
        <left/>
        <right/>
        <top/>
        <bottom/>
      </border>
    </dxf>
    <dxf>
      <font>
        <color theme="0" tint="-0.24994659260841701"/>
      </font>
      <fill>
        <patternFill>
          <bgColor theme="0" tint="-0.24994659260841701"/>
        </patternFill>
      </fill>
      <border>
        <left/>
        <right/>
        <top/>
        <bottom/>
      </border>
    </dxf>
    <dxf>
      <font>
        <color theme="1"/>
      </font>
      <fill>
        <patternFill>
          <bgColor theme="0" tint="-0.14996795556505021"/>
        </patternFill>
      </fill>
    </dxf>
    <dxf>
      <font>
        <b/>
        <i val="0"/>
        <color rgb="FFFF0000"/>
      </font>
      <fill>
        <patternFill>
          <bgColor rgb="FFFFAFAF"/>
        </patternFill>
      </fill>
    </dxf>
    <dxf>
      <font>
        <b/>
        <i val="0"/>
        <color theme="5" tint="-0.24994659260841701"/>
      </font>
      <fill>
        <patternFill>
          <bgColor rgb="FFF3AA79"/>
        </patternFill>
      </fill>
    </dxf>
    <dxf>
      <border>
        <left style="thin">
          <color auto="1"/>
        </left>
        <vertical/>
        <horizontal/>
      </border>
    </dxf>
    <dxf>
      <font>
        <color theme="0" tint="-0.24994659260841701"/>
      </font>
      <fill>
        <patternFill>
          <bgColor theme="0" tint="-0.24994659260841701"/>
        </patternFill>
      </fill>
      <border>
        <left/>
        <right/>
        <top/>
        <bottom/>
      </border>
    </dxf>
    <dxf>
      <font>
        <b/>
        <i val="0"/>
        <color theme="5" tint="-0.24994659260841701"/>
      </font>
      <fill>
        <patternFill>
          <bgColor theme="5" tint="0.59996337778862885"/>
        </patternFill>
      </fill>
    </dxf>
    <dxf>
      <font>
        <b/>
        <i val="0"/>
        <color rgb="FFFF0000"/>
      </font>
      <fill>
        <patternFill>
          <bgColor rgb="FFFFA3A3"/>
        </patternFill>
      </fill>
    </dxf>
    <dxf>
      <font>
        <b/>
        <i val="0"/>
        <color theme="5" tint="-0.24994659260841701"/>
      </font>
      <fill>
        <patternFill>
          <bgColor theme="5" tint="0.59996337778862885"/>
        </patternFill>
      </fill>
    </dxf>
    <dxf>
      <font>
        <b/>
        <i val="0"/>
        <color rgb="FFFF0000"/>
      </font>
      <fill>
        <patternFill>
          <bgColor rgb="FFFFA3A3"/>
        </patternFill>
      </fill>
    </dxf>
    <dxf>
      <font>
        <color theme="0" tint="-0.24994659260841701"/>
      </font>
      <fill>
        <patternFill>
          <bgColor theme="0" tint="-0.24994659260841701"/>
        </patternFill>
      </fill>
      <border>
        <left/>
        <right/>
        <top/>
        <bottom/>
      </border>
    </dxf>
    <dxf>
      <font>
        <color theme="0" tint="-0.24994659260841701"/>
      </font>
      <fill>
        <patternFill>
          <bgColor theme="0" tint="-0.24994659260841701"/>
        </patternFill>
      </fill>
      <border>
        <left/>
        <right/>
        <top/>
        <bottom/>
      </border>
    </dxf>
    <dxf>
      <font>
        <b/>
        <i val="0"/>
        <color rgb="FFFF0000"/>
      </font>
      <fill>
        <patternFill>
          <bgColor rgb="FFFFAFAF"/>
        </patternFill>
      </fill>
    </dxf>
    <dxf>
      <font>
        <b/>
        <i val="0"/>
        <color theme="5" tint="-0.24994659260841701"/>
      </font>
      <fill>
        <patternFill>
          <bgColor rgb="FFF3AA79"/>
        </patternFill>
      </fill>
    </dxf>
    <dxf>
      <font>
        <color theme="0" tint="-0.24994659260841701"/>
      </font>
    </dxf>
    <dxf>
      <border>
        <left style="thin">
          <color auto="1"/>
        </left>
        <vertical/>
        <horizontal/>
      </border>
    </dxf>
    <dxf>
      <font>
        <color theme="0" tint="-0.24994659260841701"/>
      </font>
      <fill>
        <patternFill>
          <bgColor theme="0" tint="-0.24994659260841701"/>
        </patternFill>
      </fill>
      <border>
        <left/>
        <right/>
        <top/>
        <bottom/>
      </border>
    </dxf>
    <dxf>
      <border>
        <left style="thin">
          <color auto="1"/>
        </left>
        <vertical/>
        <horizontal/>
      </border>
    </dxf>
    <dxf>
      <font>
        <color theme="0" tint="-0.24994659260841701"/>
      </font>
      <fill>
        <patternFill>
          <bgColor theme="0" tint="-0.24994659260841701"/>
        </patternFill>
      </fill>
      <border>
        <left/>
        <right/>
        <top/>
        <bottom/>
      </border>
    </dxf>
    <dxf>
      <border>
        <left style="thin">
          <color auto="1"/>
        </left>
        <vertical/>
        <horizontal/>
      </border>
    </dxf>
    <dxf>
      <font>
        <color theme="0" tint="-0.24994659260841701"/>
      </font>
      <fill>
        <patternFill>
          <bgColor theme="0" tint="-0.24994659260841701"/>
        </patternFill>
      </fill>
      <border>
        <left/>
        <right/>
        <top/>
        <bottom/>
      </border>
    </dxf>
    <dxf>
      <border>
        <left style="thin">
          <color auto="1"/>
        </left>
        <vertical/>
        <horizontal/>
      </border>
    </dxf>
    <dxf>
      <font>
        <color theme="0" tint="-0.24994659260841701"/>
      </font>
      <fill>
        <patternFill>
          <bgColor theme="0" tint="-0.24994659260841701"/>
        </patternFill>
      </fill>
      <border>
        <left/>
        <right/>
        <top/>
        <bottom/>
      </border>
    </dxf>
    <dxf>
      <border>
        <left style="thin">
          <color auto="1"/>
        </left>
        <vertical/>
        <horizontal/>
      </border>
    </dxf>
    <dxf>
      <font>
        <color theme="0" tint="-0.24994659260841701"/>
      </font>
      <fill>
        <patternFill>
          <bgColor theme="0" tint="-0.24994659260841701"/>
        </patternFill>
      </fill>
      <border>
        <left/>
        <right/>
        <top/>
        <bottom/>
      </border>
    </dxf>
    <dxf>
      <border>
        <left style="thin">
          <color auto="1"/>
        </left>
        <vertical/>
        <horizontal/>
      </border>
    </dxf>
    <dxf>
      <font>
        <color theme="0" tint="-0.24994659260841701"/>
      </font>
      <fill>
        <patternFill>
          <bgColor theme="0" tint="-0.24994659260841701"/>
        </patternFill>
      </fill>
      <border>
        <left/>
        <right/>
        <top/>
        <bottom/>
      </border>
    </dxf>
    <dxf>
      <border>
        <left style="thin">
          <color auto="1"/>
        </left>
        <vertical/>
        <horizontal/>
      </border>
    </dxf>
    <dxf>
      <font>
        <color theme="0" tint="-0.24994659260841701"/>
      </font>
      <fill>
        <patternFill>
          <bgColor theme="0" tint="-0.24994659260841701"/>
        </patternFill>
      </fill>
      <border>
        <left/>
        <right/>
        <top/>
        <bottom/>
      </border>
    </dxf>
    <dxf>
      <font>
        <color theme="0" tint="-0.24994659260841701"/>
      </font>
      <fill>
        <patternFill>
          <bgColor theme="0" tint="-0.24994659260841701"/>
        </patternFill>
      </fill>
      <border>
        <left/>
        <right/>
        <top/>
        <bottom/>
      </border>
    </dxf>
    <dxf>
      <border>
        <bottom style="thin">
          <color auto="1"/>
        </bottom>
        <vertical/>
        <horizontal/>
      </border>
    </dxf>
    <dxf>
      <border>
        <left style="thin">
          <color auto="1"/>
        </left>
        <vertical/>
        <horizontal/>
      </border>
    </dxf>
    <dxf>
      <font>
        <color theme="0" tint="-0.24994659260841701"/>
      </font>
      <fill>
        <patternFill>
          <bgColor theme="0" tint="-0.24994659260841701"/>
        </patternFill>
      </fill>
      <border>
        <left/>
        <right/>
        <top/>
        <bottom/>
      </border>
    </dxf>
    <dxf>
      <font>
        <color rgb="FFFFFFFF"/>
      </font>
    </dxf>
    <dxf>
      <border>
        <left style="thin">
          <color auto="1"/>
        </left>
        <right style="thin">
          <color auto="1"/>
        </right>
        <top style="thin">
          <color auto="1"/>
        </top>
        <bottom style="thin">
          <color auto="1"/>
        </bottom>
        <vertical/>
        <horizontal/>
      </border>
    </dxf>
    <dxf>
      <font>
        <color theme="0" tint="-0.24994659260841701"/>
      </font>
    </dxf>
    <dxf>
      <font>
        <color theme="0" tint="-0.24994659260841701"/>
      </font>
    </dxf>
    <dxf>
      <font>
        <strike val="0"/>
        <outline val="0"/>
        <shadow val="0"/>
        <u val="none"/>
        <vertAlign val="baseline"/>
        <sz val="10"/>
        <color auto="1"/>
        <name val="Calibri"/>
        <family val="2"/>
        <scheme val="minor"/>
      </font>
      <numFmt numFmtId="4" formatCode="#,##0.00"/>
      <protection locked="1" hidden="1"/>
    </dxf>
    <dxf>
      <font>
        <b val="0"/>
        <strike val="0"/>
        <outline val="0"/>
        <shadow val="0"/>
        <u val="none"/>
        <vertAlign val="baseline"/>
        <sz val="10"/>
        <color auto="1"/>
        <name val="Calibri"/>
        <family val="2"/>
        <scheme val="minor"/>
      </font>
      <numFmt numFmtId="4" formatCode="#,##0.00"/>
      <border diagonalUp="0" diagonalDown="0">
        <left/>
        <right style="thin">
          <color rgb="FF7F7F7F"/>
        </right>
      </border>
      <protection locked="1" hidden="1"/>
    </dxf>
    <dxf>
      <font>
        <b val="0"/>
        <strike val="0"/>
        <outline val="0"/>
        <shadow val="0"/>
        <u val="none"/>
        <vertAlign val="baseline"/>
        <sz val="10"/>
        <color auto="1"/>
        <name val="Calibri"/>
        <family val="2"/>
        <scheme val="minor"/>
      </font>
      <numFmt numFmtId="4" formatCode="#,##0.00"/>
      <protection locked="1" hidden="1"/>
    </dxf>
    <dxf>
      <font>
        <strike val="0"/>
        <outline val="0"/>
        <shadow val="0"/>
        <u val="none"/>
        <vertAlign val="baseline"/>
        <sz val="10"/>
        <name val="Calibri"/>
        <family val="2"/>
      </font>
      <numFmt numFmtId="165" formatCode="[h]:mm"/>
      <protection locked="0" hidden="0"/>
    </dxf>
    <dxf>
      <font>
        <strike val="0"/>
        <outline val="0"/>
        <shadow val="0"/>
        <u val="none"/>
        <vertAlign val="baseline"/>
        <sz val="10"/>
        <name val="Calibri"/>
        <family val="2"/>
      </font>
      <alignment horizontal="center" vertical="bottom" textRotation="0" indent="0" justifyLastLine="0" shrinkToFit="0" readingOrder="0"/>
      <protection locked="0" hidden="0"/>
    </dxf>
    <dxf>
      <font>
        <strike val="0"/>
        <outline val="0"/>
        <shadow val="0"/>
        <u val="none"/>
        <vertAlign val="baseline"/>
        <sz val="10"/>
        <name val="Calibri"/>
        <family val="2"/>
      </font>
      <border outline="0">
        <left style="thin">
          <color rgb="FFB2B2B2"/>
        </left>
      </border>
      <protection locked="0" hidden="0"/>
    </dxf>
    <dxf>
      <font>
        <strike val="0"/>
        <outline val="0"/>
        <shadow val="0"/>
        <u val="none"/>
        <vertAlign val="baseline"/>
        <sz val="10"/>
        <name val="Calibri"/>
        <family val="2"/>
      </font>
      <numFmt numFmtId="4" formatCode="#,##0.00"/>
      <border>
        <left style="thin">
          <color rgb="FFB2B2B2"/>
        </left>
      </border>
      <protection locked="0" hidden="0"/>
    </dxf>
    <dxf>
      <font>
        <strike val="0"/>
        <outline val="0"/>
        <shadow val="0"/>
        <u val="none"/>
        <vertAlign val="baseline"/>
        <sz val="10"/>
        <name val="Calibri"/>
        <family val="2"/>
      </font>
      <numFmt numFmtId="4" formatCode="#,##0.00"/>
      <border>
        <left style="thin">
          <color rgb="FFB2B2B2"/>
        </left>
        <right/>
      </border>
      <protection locked="0" hidden="0"/>
    </dxf>
    <dxf>
      <font>
        <strike val="0"/>
        <outline val="0"/>
        <shadow val="0"/>
        <u val="none"/>
        <vertAlign val="baseline"/>
        <sz val="10"/>
        <name val="Calibri"/>
        <family val="2"/>
      </font>
      <numFmt numFmtId="4" formatCode="#,##0.00"/>
      <protection locked="0" hidden="0"/>
    </dxf>
    <dxf>
      <font>
        <strike val="0"/>
        <outline val="0"/>
        <shadow val="0"/>
        <u val="none"/>
        <vertAlign val="baseline"/>
        <sz val="10"/>
        <name val="Calibri"/>
        <family val="2"/>
        <scheme val="minor"/>
      </font>
      <alignment horizontal="left" textRotation="0" indent="0" justifyLastLine="0" shrinkToFit="0" readingOrder="0"/>
      <protection locked="0" hidden="0"/>
    </dxf>
    <dxf>
      <font>
        <strike val="0"/>
        <outline val="0"/>
        <shadow val="0"/>
        <u val="none"/>
        <vertAlign val="baseline"/>
        <sz val="10"/>
        <name val="Calibri"/>
        <family val="2"/>
      </font>
      <numFmt numFmtId="0" formatCode="General"/>
      <protection locked="0" hidden="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rgb="FF000000"/>
        <name val="Calibri"/>
        <family val="2"/>
        <scheme val="none"/>
      </font>
      <protection locked="1" hidden="1"/>
    </dxf>
    <dxf>
      <border outline="0">
        <bottom style="thin">
          <color rgb="FF000000"/>
        </bottom>
      </border>
    </dxf>
    <dxf>
      <font>
        <strike val="0"/>
        <outline val="0"/>
        <shadow val="0"/>
        <u val="none"/>
        <vertAlign val="baseline"/>
        <sz val="10"/>
        <name val="Calibri"/>
        <family val="2"/>
      </font>
      <alignment horizontal="center" vertical="center" textRotation="0" indent="0" justifyLastLine="0" shrinkToFit="0" readingOrder="0"/>
      <protection locked="1" hidden="1"/>
    </dxf>
    <dxf>
      <fill>
        <patternFill>
          <bgColor rgb="FFFF5050"/>
        </patternFill>
      </fill>
    </dxf>
    <dxf>
      <fill>
        <patternFill>
          <bgColor rgb="FFFF3300"/>
        </patternFill>
      </fill>
    </dxf>
    <dxf>
      <fill>
        <patternFill>
          <bgColor theme="7" tint="0.79998168889431442"/>
        </patternFill>
      </fill>
    </dxf>
    <dxf>
      <font>
        <b val="0"/>
        <i val="0"/>
        <strike val="0"/>
        <condense val="0"/>
        <extend val="0"/>
        <outline val="0"/>
        <shadow val="0"/>
        <u val="none"/>
        <vertAlign val="baseline"/>
        <sz val="10"/>
        <color theme="0" tint="-0.249977111117893"/>
        <name val="Calibri"/>
        <family val="2"/>
        <scheme val="minor"/>
      </font>
      <numFmt numFmtId="0" formatCode="General"/>
      <fill>
        <patternFill patternType="solid">
          <fgColor indexed="64"/>
          <bgColor theme="0" tint="-0.249977111117893"/>
        </patternFill>
      </fill>
      <protection locked="1" hidden="1"/>
    </dxf>
    <dxf>
      <font>
        <b val="0"/>
        <i val="0"/>
        <strike val="0"/>
        <condense val="0"/>
        <extend val="0"/>
        <outline val="0"/>
        <shadow val="0"/>
        <u val="none"/>
        <vertAlign val="baseline"/>
        <sz val="10"/>
        <color theme="0" tint="-0.249977111117893"/>
        <name val="Calibri"/>
        <family val="2"/>
        <scheme val="minor"/>
      </font>
      <numFmt numFmtId="0" formatCode="General"/>
      <fill>
        <patternFill patternType="solid">
          <fgColor indexed="64"/>
          <bgColor theme="0" tint="-0.249977111117893"/>
        </patternFill>
      </fill>
      <protection locked="1" hidden="1"/>
    </dxf>
    <dxf>
      <font>
        <b val="0"/>
        <i val="0"/>
        <strike val="0"/>
        <condense val="0"/>
        <extend val="0"/>
        <outline val="0"/>
        <shadow val="0"/>
        <u val="none"/>
        <vertAlign val="baseline"/>
        <sz val="10"/>
        <color theme="0" tint="-0.249977111117893"/>
        <name val="Calibri"/>
        <family val="2"/>
        <scheme val="minor"/>
      </font>
      <numFmt numFmtId="0" formatCode="General"/>
      <fill>
        <patternFill patternType="solid">
          <fgColor indexed="64"/>
          <bgColor theme="0" tint="-0.249977111117893"/>
        </patternFill>
      </fill>
      <protection locked="1" hidden="1"/>
    </dxf>
    <dxf>
      <font>
        <strike val="0"/>
        <outline val="0"/>
        <shadow val="0"/>
        <u val="none"/>
        <vertAlign val="baseline"/>
        <sz val="10"/>
        <color auto="1"/>
        <name val="Calibri"/>
        <family val="2"/>
        <scheme val="minor"/>
      </font>
      <numFmt numFmtId="4" formatCode="#,##0.00"/>
      <protection locked="1" hidden="1"/>
    </dxf>
    <dxf>
      <font>
        <b val="0"/>
        <strike val="0"/>
        <outline val="0"/>
        <shadow val="0"/>
        <u val="none"/>
        <vertAlign val="baseline"/>
        <sz val="10"/>
        <color auto="1"/>
        <name val="Calibri"/>
        <family val="2"/>
        <scheme val="minor"/>
      </font>
      <numFmt numFmtId="4" formatCode="#,##0.00"/>
      <border diagonalUp="0" diagonalDown="0">
        <left/>
        <right style="thin">
          <color rgb="FF7F7F7F"/>
        </right>
      </border>
      <protection locked="1" hidden="1"/>
    </dxf>
    <dxf>
      <font>
        <b val="0"/>
        <strike val="0"/>
        <outline val="0"/>
        <shadow val="0"/>
        <u val="none"/>
        <vertAlign val="baseline"/>
        <sz val="10"/>
        <color auto="1"/>
        <name val="Calibri"/>
        <family val="2"/>
        <scheme val="minor"/>
      </font>
      <numFmt numFmtId="4" formatCode="#,##0.00"/>
      <border>
        <left style="thin">
          <color rgb="FFB2B2B2"/>
        </left>
      </border>
      <protection locked="1" hidden="1"/>
    </dxf>
    <dxf>
      <numFmt numFmtId="165" formatCode="[h]:mm"/>
      <border outline="0">
        <left style="thin">
          <color rgb="FFB2B2B2"/>
        </left>
      </border>
      <protection locked="0" hidden="0"/>
    </dxf>
    <dxf>
      <numFmt numFmtId="0" formatCode="General"/>
      <protection locked="0" hidden="0"/>
    </dxf>
    <dxf>
      <border outline="0">
        <right style="thin">
          <color rgb="FFB2B2B2"/>
        </right>
      </border>
      <protection locked="0" hidden="0"/>
    </dxf>
    <dxf>
      <numFmt numFmtId="164" formatCode="&quot;£&quot;#,##0.00"/>
      <protection locked="0" hidden="0"/>
    </dxf>
    <dxf>
      <protection locked="0" hidden="0"/>
    </dxf>
    <dxf>
      <protection locked="0" hidden="0"/>
    </dxf>
    <dxf>
      <font>
        <b val="0"/>
        <i val="0"/>
        <strike val="0"/>
        <condense val="0"/>
        <extend val="0"/>
        <outline val="0"/>
        <shadow val="0"/>
        <u val="none"/>
        <vertAlign val="baseline"/>
        <sz val="10"/>
        <color theme="1"/>
        <name val="Calibri"/>
        <family val="2"/>
        <scheme val="minor"/>
      </font>
      <numFmt numFmtId="0" formatCode="General"/>
      <alignment horizontal="general" vertical="bottom" textRotation="0" wrapText="0" indent="0" justifyLastLine="0" shrinkToFit="0" readingOrder="0"/>
      <protection locked="0" hidden="0"/>
    </dxf>
    <dxf>
      <font>
        <strike val="0"/>
        <outline val="0"/>
        <shadow val="0"/>
        <u val="none"/>
        <vertAlign val="baseline"/>
        <sz val="10"/>
        <name val="Calibri"/>
        <family val="2"/>
      </font>
      <numFmt numFmtId="0" formatCode="General"/>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protection locked="1" hidden="1"/>
    </dxf>
    <dxf>
      <border outline="0">
        <bottom style="thin">
          <color indexed="64"/>
        </bottom>
      </border>
    </dxf>
    <dxf>
      <font>
        <strike val="0"/>
        <outline val="0"/>
        <shadow val="0"/>
        <u val="none"/>
        <vertAlign val="baseline"/>
        <sz val="10"/>
        <name val="Calibri"/>
        <family val="2"/>
      </font>
      <alignment horizontal="center" vertical="center" textRotation="0" indent="0" justifyLastLine="0" shrinkToFit="0" readingOrder="0"/>
      <protection locked="1" hidden="1"/>
    </dxf>
    <dxf>
      <font>
        <b val="0"/>
        <i val="0"/>
        <strike val="0"/>
        <condense val="0"/>
        <extend val="0"/>
        <outline val="0"/>
        <shadow val="0"/>
        <u val="none"/>
        <vertAlign val="baseline"/>
        <sz val="10"/>
        <color theme="0"/>
        <name val="Calibri"/>
        <family val="2"/>
        <scheme val="minor"/>
      </font>
      <numFmt numFmtId="4" formatCode="#,##0.00"/>
      <fill>
        <patternFill>
          <fgColor indexed="64"/>
          <bgColor theme="0" tint="-0.249977111117893"/>
        </patternFill>
      </fill>
      <protection locked="1" hidden="1"/>
    </dxf>
    <dxf>
      <font>
        <b val="0"/>
        <i val="0"/>
        <strike val="0"/>
        <condense val="0"/>
        <extend val="0"/>
        <outline val="0"/>
        <shadow val="0"/>
        <u val="none"/>
        <vertAlign val="baseline"/>
        <sz val="10"/>
        <color theme="0"/>
        <name val="Calibri"/>
        <family val="2"/>
        <scheme val="minor"/>
      </font>
      <numFmt numFmtId="4" formatCode="#,##0.00"/>
      <fill>
        <patternFill>
          <fgColor indexed="64"/>
          <bgColor theme="0" tint="-0.249977111117893"/>
        </patternFill>
      </fill>
      <protection locked="1" hidden="1"/>
    </dxf>
    <dxf>
      <font>
        <b/>
        <i val="0"/>
        <strike val="0"/>
        <condense val="0"/>
        <extend val="0"/>
        <outline val="0"/>
        <shadow val="0"/>
        <u val="none"/>
        <vertAlign val="baseline"/>
        <sz val="10"/>
        <color theme="0"/>
        <name val="Calibri"/>
        <family val="2"/>
        <scheme val="minor"/>
      </font>
      <numFmt numFmtId="165" formatCode="[h]:mm"/>
      <fill>
        <patternFill>
          <fgColor indexed="64"/>
          <bgColor theme="0" tint="-0.249977111117893"/>
        </patternFill>
      </fill>
      <protection locked="1" hidden="1"/>
    </dxf>
    <dxf>
      <font>
        <strike val="0"/>
        <outline val="0"/>
        <shadow val="0"/>
        <u val="none"/>
        <vertAlign val="baseline"/>
        <sz val="10"/>
        <color auto="1"/>
        <name val="Calibri"/>
        <family val="2"/>
        <scheme val="minor"/>
      </font>
      <numFmt numFmtId="4" formatCode="#,##0.00"/>
      <protection locked="1" hidden="1"/>
    </dxf>
    <dxf>
      <font>
        <b val="0"/>
        <strike val="0"/>
        <outline val="0"/>
        <shadow val="0"/>
        <u val="none"/>
        <vertAlign val="baseline"/>
        <sz val="10"/>
        <color auto="1"/>
        <name val="Calibri"/>
        <family val="2"/>
        <scheme val="minor"/>
      </font>
      <numFmt numFmtId="4" formatCode="#,##0.00"/>
      <border diagonalUp="0" diagonalDown="0">
        <left/>
        <right style="thin">
          <color rgb="FF7F7F7F"/>
        </right>
      </border>
      <protection locked="1" hidden="1"/>
    </dxf>
    <dxf>
      <font>
        <b val="0"/>
        <strike val="0"/>
        <outline val="0"/>
        <shadow val="0"/>
        <u val="none"/>
        <vertAlign val="baseline"/>
        <sz val="10"/>
        <color auto="1"/>
        <name val="Calibri"/>
        <family val="2"/>
        <scheme val="minor"/>
      </font>
      <numFmt numFmtId="4" formatCode="#,##0.00"/>
      <protection locked="1" hidden="1"/>
    </dxf>
    <dxf>
      <font>
        <strike val="0"/>
        <outline val="0"/>
        <shadow val="0"/>
        <u val="none"/>
        <vertAlign val="baseline"/>
        <sz val="10"/>
        <name val="Calibri"/>
        <family val="2"/>
      </font>
      <numFmt numFmtId="165" formatCode="[h]:mm"/>
      <protection locked="0" hidden="0"/>
    </dxf>
    <dxf>
      <font>
        <strike val="0"/>
        <outline val="0"/>
        <shadow val="0"/>
        <u val="none"/>
        <vertAlign val="baseline"/>
        <sz val="10"/>
        <name val="Calibri"/>
        <family val="2"/>
      </font>
      <alignment horizontal="center" vertical="bottom" textRotation="0" indent="0" justifyLastLine="0" shrinkToFit="0" readingOrder="0"/>
      <protection locked="0" hidden="0"/>
    </dxf>
    <dxf>
      <font>
        <strike val="0"/>
        <outline val="0"/>
        <shadow val="0"/>
        <u val="none"/>
        <vertAlign val="baseline"/>
        <sz val="10"/>
        <name val="Calibri"/>
        <family val="2"/>
      </font>
      <protection locked="0" hidden="0"/>
    </dxf>
    <dxf>
      <font>
        <strike val="0"/>
        <outline val="0"/>
        <shadow val="0"/>
        <u val="none"/>
        <vertAlign val="baseline"/>
        <sz val="10"/>
        <name val="Calibri"/>
        <family val="2"/>
      </font>
      <numFmt numFmtId="4" formatCode="#,##0.00"/>
      <protection locked="0" hidden="0"/>
    </dxf>
    <dxf>
      <font>
        <strike val="0"/>
        <outline val="0"/>
        <shadow val="0"/>
        <u val="none"/>
        <vertAlign val="baseline"/>
        <sz val="10"/>
        <name val="Calibri"/>
        <family val="2"/>
      </font>
      <numFmt numFmtId="4" formatCode="#,##0.00"/>
      <protection locked="0" hidden="0"/>
    </dxf>
    <dxf>
      <font>
        <strike val="0"/>
        <outline val="0"/>
        <shadow val="0"/>
        <u val="none"/>
        <vertAlign val="baseline"/>
        <sz val="10"/>
        <name val="Calibri"/>
        <family val="2"/>
      </font>
      <numFmt numFmtId="4" formatCode="#,##0.00"/>
      <protection locked="0" hidden="0"/>
    </dxf>
    <dxf>
      <font>
        <strike val="0"/>
        <outline val="0"/>
        <shadow val="0"/>
        <u val="none"/>
        <vertAlign val="baseline"/>
        <sz val="10"/>
        <name val="Calibri"/>
        <family val="2"/>
        <scheme val="minor"/>
      </font>
      <alignment horizontal="left" textRotation="0" indent="0" justifyLastLine="0" shrinkToFit="0" readingOrder="0"/>
      <protection locked="0" hidden="0"/>
    </dxf>
    <dxf>
      <font>
        <strike val="0"/>
        <outline val="0"/>
        <shadow val="0"/>
        <u val="none"/>
        <vertAlign val="baseline"/>
        <sz val="10"/>
        <name val="Calibri"/>
        <family val="2"/>
      </font>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family val="2"/>
        <scheme val="minor"/>
      </font>
      <protection locked="1" hidden="1"/>
    </dxf>
    <dxf>
      <border outline="0">
        <bottom style="thin">
          <color indexed="64"/>
        </bottom>
      </border>
    </dxf>
    <dxf>
      <font>
        <strike val="0"/>
        <outline val="0"/>
        <shadow val="0"/>
        <u val="none"/>
        <vertAlign val="baseline"/>
        <sz val="10"/>
        <name val="Calibri"/>
        <family val="2"/>
      </font>
      <alignment horizontal="center" vertical="center" textRotation="0" indent="0" justifyLastLine="0" shrinkToFit="0" readingOrder="0"/>
      <protection locked="1" hidden="1"/>
    </dxf>
    <dxf>
      <font>
        <color theme="0" tint="-0.24994659260841701"/>
      </font>
      <fill>
        <patternFill>
          <bgColor theme="0" tint="-0.24994659260841701"/>
        </patternFill>
      </fill>
      <border>
        <left/>
        <right/>
        <top/>
        <bottom/>
        <vertical/>
        <horizontal/>
      </border>
    </dxf>
    <dxf>
      <font>
        <color theme="0" tint="-0.24994659260841701"/>
      </font>
      <fill>
        <patternFill>
          <bgColor theme="0" tint="-0.24994659260841701"/>
        </patternFill>
      </fill>
      <border>
        <left/>
        <right/>
        <top/>
        <bottom/>
        <vertical/>
        <horizontal/>
      </border>
    </dxf>
    <dxf>
      <border>
        <top style="thin">
          <color auto="1"/>
        </top>
        <vertical/>
        <horizontal/>
      </border>
    </dxf>
    <dxf>
      <font>
        <color theme="0" tint="-0.14996795556505021"/>
      </font>
      <fill>
        <patternFill>
          <bgColor theme="0" tint="-0.14996795556505021"/>
        </patternFill>
      </fill>
      <border>
        <left/>
        <right/>
        <top/>
        <bottom/>
        <vertical/>
        <horizontal/>
      </border>
    </dxf>
  </dxfs>
  <tableStyles count="0" defaultTableStyle="TableStyleMedium2" defaultPivotStyle="PivotStyleLight16"/>
  <colors>
    <mruColors>
      <color rgb="FFFFFFCC"/>
      <color rgb="FFFFFFF4"/>
      <color rgb="FFFFAFAF"/>
      <color rgb="FFFF0000"/>
      <color rgb="FFF3AA78"/>
      <color rgb="FFC65911"/>
      <color rgb="FFF3AA79"/>
      <color rgb="FFFFA3A3"/>
      <color rgb="FFFF3300"/>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178760</xdr:colOff>
      <xdr:row>0</xdr:row>
      <xdr:rowOff>609600</xdr:rowOff>
    </xdr:to>
    <xdr:pic>
      <xdr:nvPicPr>
        <xdr:cNvPr id="12" name="Picture 11">
          <a:extLst>
            <a:ext uri="{FF2B5EF4-FFF2-40B4-BE49-F238E27FC236}">
              <a16:creationId xmlns:a16="http://schemas.microsoft.com/office/drawing/2014/main" id="{CAEA09E1-8C22-4185-9C4F-9D7FAC1745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64578" cy="609600"/>
        </a:xfrm>
        <a:prstGeom prst="rect">
          <a:avLst/>
        </a:prstGeom>
      </xdr:spPr>
    </xdr:pic>
    <xdr:clientData/>
  </xdr:twoCellAnchor>
  <xdr:twoCellAnchor editAs="oneCell">
    <xdr:from>
      <xdr:col>0</xdr:col>
      <xdr:colOff>0</xdr:colOff>
      <xdr:row>0</xdr:row>
      <xdr:rowOff>615951</xdr:rowOff>
    </xdr:from>
    <xdr:to>
      <xdr:col>1</xdr:col>
      <xdr:colOff>197881</xdr:colOff>
      <xdr:row>0</xdr:row>
      <xdr:rowOff>864067</xdr:rowOff>
    </xdr:to>
    <xdr:pic>
      <xdr:nvPicPr>
        <xdr:cNvPr id="13" name="Picture 12">
          <a:extLst>
            <a:ext uri="{FF2B5EF4-FFF2-40B4-BE49-F238E27FC236}">
              <a16:creationId xmlns:a16="http://schemas.microsoft.com/office/drawing/2014/main" id="{2A108A45-E7D0-4203-9B6E-8B141F1B59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19126"/>
          <a:ext cx="1571026" cy="247649"/>
        </a:xfrm>
        <a:prstGeom prst="rect">
          <a:avLst/>
        </a:prstGeom>
      </xdr:spPr>
    </xdr:pic>
    <xdr:clientData/>
  </xdr:twoCellAnchor>
  <xdr:twoCellAnchor editAs="oneCell">
    <xdr:from>
      <xdr:col>3</xdr:col>
      <xdr:colOff>188119</xdr:colOff>
      <xdr:row>0</xdr:row>
      <xdr:rowOff>172407</xdr:rowOff>
    </xdr:from>
    <xdr:to>
      <xdr:col>4</xdr:col>
      <xdr:colOff>95249</xdr:colOff>
      <xdr:row>0</xdr:row>
      <xdr:rowOff>779860</xdr:rowOff>
    </xdr:to>
    <xdr:pic>
      <xdr:nvPicPr>
        <xdr:cNvPr id="14" name="Picture 13">
          <a:extLst>
            <a:ext uri="{FF2B5EF4-FFF2-40B4-BE49-F238E27FC236}">
              <a16:creationId xmlns:a16="http://schemas.microsoft.com/office/drawing/2014/main" id="{B144219B-1883-48A6-A882-09E9C0AE71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24275" y="172407"/>
          <a:ext cx="609599" cy="607453"/>
        </a:xfrm>
        <a:prstGeom prst="rect">
          <a:avLst/>
        </a:prstGeom>
      </xdr:spPr>
    </xdr:pic>
    <xdr:clientData/>
  </xdr:twoCellAnchor>
  <xdr:twoCellAnchor editAs="oneCell">
    <xdr:from>
      <xdr:col>4</xdr:col>
      <xdr:colOff>64692</xdr:colOff>
      <xdr:row>0</xdr:row>
      <xdr:rowOff>196851</xdr:rowOff>
    </xdr:from>
    <xdr:to>
      <xdr:col>4</xdr:col>
      <xdr:colOff>675835</xdr:colOff>
      <xdr:row>0</xdr:row>
      <xdr:rowOff>744935</xdr:rowOff>
    </xdr:to>
    <xdr:pic>
      <xdr:nvPicPr>
        <xdr:cNvPr id="15" name="Picture 14">
          <a:extLst>
            <a:ext uri="{FF2B5EF4-FFF2-40B4-BE49-F238E27FC236}">
              <a16:creationId xmlns:a16="http://schemas.microsoft.com/office/drawing/2014/main" id="{D565D159-7F7F-44B5-A213-670E1BF652C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03317" y="196851"/>
          <a:ext cx="605233" cy="548084"/>
        </a:xfrm>
        <a:prstGeom prst="rect">
          <a:avLst/>
        </a:prstGeom>
      </xdr:spPr>
    </xdr:pic>
    <xdr:clientData/>
  </xdr:twoCellAnchor>
  <xdr:twoCellAnchor editAs="oneCell">
    <xdr:from>
      <xdr:col>4</xdr:col>
      <xdr:colOff>660797</xdr:colOff>
      <xdr:row>0</xdr:row>
      <xdr:rowOff>193278</xdr:rowOff>
    </xdr:from>
    <xdr:to>
      <xdr:col>5</xdr:col>
      <xdr:colOff>1324424</xdr:colOff>
      <xdr:row>0</xdr:row>
      <xdr:rowOff>735736</xdr:rowOff>
    </xdr:to>
    <xdr:pic>
      <xdr:nvPicPr>
        <xdr:cNvPr id="16" name="Picture 15">
          <a:extLst>
            <a:ext uri="{FF2B5EF4-FFF2-40B4-BE49-F238E27FC236}">
              <a16:creationId xmlns:a16="http://schemas.microsoft.com/office/drawing/2014/main" id="{68265C2F-C56B-460C-B11B-096A96AB8D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99422" y="193278"/>
          <a:ext cx="2074561" cy="5429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622ACB-6785-4399-B143-BDB391B210FB}" name="Table1" displayName="Table1" ref="A14:N93" totalsRowShown="0" headerRowDxfId="211" dataDxfId="209" headerRowBorderDxfId="210" tableBorderDxfId="208">
  <autoFilter ref="A14:N93" xr:uid="{FEEE25BB-3F55-4E3F-AF60-92F2543010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B138E39F-D274-4B10-A7AA-7438557C8293}" name="Role" dataDxfId="207" dataCellStyle="Note"/>
    <tableColumn id="2" xr3:uid="{8398ABCA-942E-4182-8C4F-C4C157728B71}" name="Role type" dataDxfId="206" dataCellStyle="Note"/>
    <tableColumn id="4" xr3:uid="{DCAC5517-826E-412F-89F3-B962006152DF}" name="Rate" dataDxfId="205" dataCellStyle="Note"/>
    <tableColumn id="9" xr3:uid="{CC485783-E308-4937-91BA-DBC89A5B9642}" name="Hrly Staff only Bank Hol hrly rate 1" dataDxfId="204" dataCellStyle="Note"/>
    <tableColumn id="10" xr3:uid="{D28D6CEC-803B-406B-8A24-D9651BC3BC8C}" name="Hrly Staff only Bank Hol hrly rate 2" dataDxfId="203" dataCellStyle="Note">
      <calculatedColumnFormula>Table1[[#This Row],[Rate]]*2</calculatedColumnFormula>
    </tableColumn>
    <tableColumn id="5" xr3:uid="{AC4034FE-3E66-4785-8A81-42D586FABE24}" name="Per (Year /Hr)" dataDxfId="202" dataCellStyle="Note"/>
    <tableColumn id="6" xr3:uid="{4D3AA3F8-8AA0-4D97-81FA-D5AD01B5B709}" name="# FTE staff in role" dataDxfId="201" dataCellStyle="Note"/>
    <tableColumn id="3" xr3:uid="{E9E3BAD9-2773-47C6-91F7-A0D0319F410D}" name="Combined hrs per week" dataDxfId="200" dataCellStyle="Note"/>
    <tableColumn id="7" xr3:uid="{A8E14E88-CB1F-41DE-8BF7-2B6A0F2B22DE}" name="Cohort wage (includes BH for hrly staff)" dataDxfId="199" dataCellStyle="Calculation">
      <calculatedColumnFormula>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calculatedColumnFormula>
    </tableColumn>
    <tableColumn id="11" xr3:uid="{A0BE635B-233F-4168-B83B-84C4F42909AA}" name="Hrly staff AL accrual" dataDxfId="198" dataCellStyle="Calculation">
      <calculatedColumnFormula>IFERROR(IF(Table1[[#This Row],[Per (Year /Hr)]]="year","",$J$6*Table1[[#This Row],[Cohort wage (includes BH for hrly staff)]]),"")</calculatedColumnFormula>
    </tableColumn>
    <tableColumn id="12" xr3:uid="{B31BB06A-338C-4B83-A746-FD5B5ED3A476}" name="Total Wage" dataDxfId="197" dataCellStyle="Calculation">
      <calculatedColumnFormula>IFERROR(IF(Table1[[#This Row],[Per (Year /Hr)]]="year",Table1[[#This Row],[Cohort wage (includes BH for hrly staff)]],Table1[[#This Row],[Cohort wage (includes BH for hrly staff)]]+Table1[[#This Row],[Hrly staff AL accrual]]),0)</calculatedColumnFormula>
    </tableColumn>
    <tableColumn id="13" xr3:uid="{1E761C77-5B9C-4B63-BD51-05CA9FC5BF0D}" name="an. hrs per fte" dataDxfId="196" dataCellStyle="Calculation">
      <calculatedColumnFormula>((Table1[[#This Row],[Combined hrs per week]]/Table1[[#This Row],['# FTE staff in role]])*($J$3/7))</calculatedColumnFormula>
    </tableColumn>
    <tableColumn id="8" xr3:uid="{8427F6E5-5495-4681-B1B0-666F8649912A}" name="an. Wage Per FTE" dataDxfId="195">
      <calculatedColumnFormula>Table1[[#This Row],[Total Wage]]/Table1[[#This Row],['# FTE staff in role]]</calculatedColumnFormula>
    </tableColumn>
    <tableColumn id="14" xr3:uid="{EBEB2B0E-A425-4F49-90E0-B694EBEB070F}" name="accrued wage per hr" dataDxfId="194">
      <calculatedColumnFormula>IF(ISBLANK(Table1[[#This Row],['# FTE staff in role]]),Table1[[#This Row],[Total Wage]]/(Table1[[#This Row],[Combined hrs per week]]*($J$3/7)),(Table1[[#This Row],[an. Wage Per FTE]]/Table1[[#This Row],[an. hrs per fte]]/24))</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8CD989-E5B1-444A-8CB6-56F8D7C1D356}" name="Table14" displayName="Table14" ref="O14:AB93" totalsRowShown="0" headerRowDxfId="193" dataDxfId="191" headerRowBorderDxfId="192" tableBorderDxfId="190">
  <autoFilter ref="O14:AB93" xr:uid="{9CE899A1-11E3-4B7D-BE9F-5DFAA5E8E8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07B5382-35D1-4E1C-97C1-1DF9ADFE7EA4}" name="Role" dataDxfId="189" dataCellStyle="Note">
      <calculatedColumnFormula>IF(ISBLANK(Table1[[#This Row],[Role]]),"",Table1[[#This Row],[Role]])</calculatedColumnFormula>
    </tableColumn>
    <tableColumn id="2" xr3:uid="{6FBD3587-6F49-4A4D-834A-EEFA4C10FE9F}" name="Role Type" dataDxfId="188" dataCellStyle="Note">
      <calculatedColumnFormula>IF(ISBLANK(Table1[[#This Row],[Role type]]),"",Table1[[#This Row],[Role type]])</calculatedColumnFormula>
    </tableColumn>
    <tableColumn id="4" xr3:uid="{89508C41-DDAC-487F-A657-3F6C863FF17B}" name="Revised rate" dataDxfId="187" dataCellStyle="Note">
      <calculatedColumnFormula>IF(ISBLANK(Table1[[#This Row],[Rate]]),"",Table1[[#This Row],[Rate]])</calculatedColumnFormula>
    </tableColumn>
    <tableColumn id="9" xr3:uid="{5D065EAA-03A1-4901-83BD-FBE46C4700C7}" name="Hrly Staff only Revised Bank Hol hrly rate 1" dataDxfId="186" dataCellStyle="Note">
      <calculatedColumnFormula>IF(ISBLANK(Table1[[#This Row],[Hrly Staff only Bank Hol hrly rate 1]]),"",Table1[[#This Row],[Hrly Staff only Bank Hol hrly rate 1]])</calculatedColumnFormula>
    </tableColumn>
    <tableColumn id="10" xr3:uid="{CABE426B-0008-4026-A97B-D74318A99D3B}" name="Hrly Staff only Revised Bank Hol hrly rate 2" dataDxfId="185" dataCellStyle="Note">
      <calculatedColumnFormula>IF(ISBLANK(Table1[[#This Row],[Hrly Staff only Bank Hol hrly rate 2]]),0,Table1[[#This Row],[Hrly Staff only Bank Hol hrly rate 2]])</calculatedColumnFormula>
    </tableColumn>
    <tableColumn id="5" xr3:uid="{269E443E-ADC6-40FD-B670-F6B31C92B63F}" name="Per" dataDxfId="184" dataCellStyle="Note">
      <calculatedColumnFormula>IF(ISBLANK(Table1[[#This Row],[Per (Year /Hr)]]),"",Table1[[#This Row],[Per (Year /Hr)]])</calculatedColumnFormula>
    </tableColumn>
    <tableColumn id="6" xr3:uid="{47024B79-B969-4B83-A938-989B406AD65E}" name="Revised # Staff in role" dataDxfId="183" dataCellStyle="Note">
      <calculatedColumnFormula>IF(ISBLANK(Table1[[#This Row],['# FTE staff in role]]),"",Table1[[#This Row],['# FTE staff in role]])</calculatedColumnFormula>
    </tableColumn>
    <tableColumn id="3" xr3:uid="{00AE961D-02EF-49CA-87E9-890BB2217A97}" name="Revised Combined hrs per week" dataDxfId="182" dataCellStyle="Note">
      <calculatedColumnFormula>IF(ISBLANK(Table1[[#This Row],[Combined hrs per week]]),"",Table1[[#This Row],[Combined hrs per week]])</calculatedColumnFormula>
    </tableColumn>
    <tableColumn id="7" xr3:uid="{D5A628BC-44DA-48D5-B723-F1C97E1791E6}" name="Cohort Wage (includes BH for hrly rate staff)" dataDxfId="181" dataCellStyle="Calculation">
      <calculatedColumnFormula>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calculatedColumnFormula>
    </tableColumn>
    <tableColumn id="11" xr3:uid="{0EBF3430-E4C8-424E-B7FE-7D63B7B94786}" name="Hrly staff AL accrual" dataDxfId="180" dataCellStyle="Calculation">
      <calculatedColumnFormula>IFERROR(IF(Table14[[#This Row],[Per]]="year","",$X$6*Table14[[#This Row],[Cohort Wage (includes BH for hrly rate staff)]]),"")</calculatedColumnFormula>
    </tableColumn>
    <tableColumn id="12" xr3:uid="{4472D5F9-1827-498E-84BE-66BA9647DA2C}" name="Total Wage" dataDxfId="179" dataCellStyle="Calculation">
      <calculatedColumnFormula>IFERROR(IF(Table14[[#This Row],[Per]]="year",Table14[[#This Row],[Cohort Wage (includes BH for hrly rate staff)]],Table14[[#This Row],[Cohort Wage (includes BH for hrly rate staff)]]+Table14[[#This Row],[Hrly staff AL accrual]]),0)</calculatedColumnFormula>
    </tableColumn>
    <tableColumn id="8" xr3:uid="{339B8683-585B-451A-A596-3D4342CB2951}" name="an hrs per fte" dataDxfId="178">
      <calculatedColumnFormula>((Table14[Revised Combined hrs per week]/Table14[Revised '# Staff in role])*($X$3/7))</calculatedColumnFormula>
    </tableColumn>
    <tableColumn id="13" xr3:uid="{C328C3F8-D72F-4148-A8BE-707604511FBB}" name="an wg per fte" dataDxfId="177">
      <calculatedColumnFormula>Table14[[#This Row],[Total Wage]]/Table14[Revised '# Staff in role]</calculatedColumnFormula>
    </tableColumn>
    <tableColumn id="14" xr3:uid="{4BE58C65-E221-49A4-B5A1-6B1927C09675}" name="total wage2" dataDxfId="176">
      <calculatedColumnFormula>(Table14[[#This Row],[an wg per fte]]/Table14[[#This Row],[an hrs per fte]]/24)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D4FDFA-4A05-4057-A676-6422D8A26C60}" name="Table13" displayName="Table13" ref="A9:K88" totalsRowShown="0" headerRowDxfId="172" dataDxfId="170" headerRowBorderDxfId="171" tableBorderDxfId="169">
  <autoFilter ref="A9:K88" xr:uid="{FEEE25BB-3F55-4E3F-AF60-92F25430101D}"/>
  <tableColumns count="11">
    <tableColumn id="1" xr3:uid="{E25035BF-EE1B-49FA-BFD7-878AB5D6EA26}" name="Role" dataDxfId="168" dataCellStyle="Note">
      <calculatedColumnFormula>IF(ISBLANK(Table1[[#This Row],[Role]]),"",Table1[[#This Row],[Role]])</calculatedColumnFormula>
    </tableColumn>
    <tableColumn id="2" xr3:uid="{9828CD8C-4F9D-441C-90BE-7FAC7C0F0224}" name="Role type" dataDxfId="167" dataCellStyle="Note">
      <calculatedColumnFormula>IF(ISBLANK(Table1[[#This Row],[Role type]]),"",Table1[[#This Row],[Role type]])</calculatedColumnFormula>
    </tableColumn>
    <tableColumn id="4" xr3:uid="{2D847B13-D530-4462-91FD-1FC7B0EACF61}" name="Rate" dataDxfId="166" dataCellStyle="Note">
      <calculatedColumnFormula>IF(ISBLANK(Table1[[#This Row],[Rate]]),"",Table1[[#This Row],[Rate]])</calculatedColumnFormula>
    </tableColumn>
    <tableColumn id="9" xr3:uid="{9D1F11A0-48AF-4506-9BF9-389B298FD778}" name="Hrly Staf only Bank Hol hrly rate 1" dataDxfId="165" dataCellStyle="Note">
      <calculatedColumnFormula>IF(ISBLANK(Table1[[#This Row],[Hrly Staff only Bank Hol hrly rate 1]]),"",Table1[[#This Row],[Hrly Staff only Bank Hol hrly rate 1]])</calculatedColumnFormula>
    </tableColumn>
    <tableColumn id="10" xr3:uid="{F3071657-00A3-4BF5-90BA-D8BEEAA0FE71}" name="Hrly Staf only Bank Hol hrly rate 2" dataDxfId="164" dataCellStyle="Note">
      <calculatedColumnFormula>IF(ISBLANK(Table1[[#This Row],[Hrly Staff only Bank Hol hrly rate 2]]),"",Table1[[#This Row],[Hrly Staff only Bank Hol hrly rate 2]])</calculatedColumnFormula>
    </tableColumn>
    <tableColumn id="5" xr3:uid="{91206BEC-4C75-453A-8855-F89D8D8ADE44}" name="Per" dataDxfId="163" dataCellStyle="Note">
      <calculatedColumnFormula>IF(ISBLANK(Table1[[#This Row],[Per (Year /Hr)]]),"",Table1[[#This Row],[Per (Year /Hr)]])</calculatedColumnFormula>
    </tableColumn>
    <tableColumn id="6" xr3:uid="{712804A5-6940-4577-8F02-64C022A9D818}" name="# Staff in role" dataDxfId="162" dataCellStyle="Note">
      <calculatedColumnFormula>IF(ISBLANK(Table1[[#This Row],['# FTE staff in role]]),"",Table1[[#This Row],['# FTE staff in role]])</calculatedColumnFormula>
    </tableColumn>
    <tableColumn id="3" xr3:uid="{781A851A-2C8E-4C4F-9765-894F4609770D}" name="Combined hrs per week" dataDxfId="161" dataCellStyle="Note">
      <calculatedColumnFormula>IF(ISBLANK(Table1[[#This Row],[Combined hrs per week]]),"",Table1[[#This Row],[Combined hrs per week]])</calculatedColumnFormula>
    </tableColumn>
    <tableColumn id="7" xr3:uid="{1F9D2088-86EE-4D19-9407-E572A6C79EC3}" name="Cohort Wage (includes BH for hrly rate staff)" dataDxfId="160" dataCellStyle="Calculation">
      <calculatedColumnFormula>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calculatedColumnFormula>
    </tableColumn>
    <tableColumn id="11" xr3:uid="{3E2C102D-486D-4A87-83CD-51CADD225B63}" name="Hrly staff AL acrual" dataDxfId="159" dataCellStyle="Calculation">
      <calculatedColumnFormula>IFERROR(IF(Table13[[#This Row],[Per]]="year","",$J$6*Table13[[#This Row],[Cohort Wage (includes BH for hrly rate staff)]]),"")</calculatedColumnFormula>
    </tableColumn>
    <tableColumn id="12" xr3:uid="{526BB0F2-75BE-48EA-8FB5-20698F911A5E}" name="Total Wage" dataDxfId="158" dataCellStyle="Calculation">
      <calculatedColumnFormula>IFERROR(IF(Table13[[#This Row],[Per]]="year",Table13[[#This Row],[Cohort Wage (includes BH for hrly rate staff)]]*Table13[[#This Row],['# Staff in role]],Table13[[#This Row],[Cohort Wage (includes BH for hrly rate staff)]]+Table13[[#This Row],[Hrly staff AL acrual]]),"")</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F55511D-5624-437D-9A2F-95117E636C4A}" name="Table5" displayName="Table5" ref="A7:B15" totalsRowShown="0" headerRowDxfId="69" dataDxfId="67" headerRowBorderDxfId="68" tableBorderDxfId="66" totalsRowBorderDxfId="65">
  <autoFilter ref="A7:B15" xr:uid="{178D6C74-B833-4047-B805-06EDA607B665}"/>
  <tableColumns count="2">
    <tableColumn id="1" xr3:uid="{6BCA4333-68DB-4B53-A34C-B9CE69BA9114}" name="# bank hols @ rate" dataDxfId="64"/>
    <tableColumn id="2" xr3:uid="{040844A1-32D3-411C-8FBA-ED293EF9198D}" name="pay rate per hr" dataDxfId="6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uidance/energy-bill-relief-scheme-help-for-businesses-and-other-non-domestic-customers" TargetMode="External"/><Relationship Id="rId1" Type="http://schemas.openxmlformats.org/officeDocument/2006/relationships/hyperlink" Target="https://www.gov.uk/government/publications/energy-bill-relief-scheme-discounts-for-fixed-default-and-variable-contract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3889B-31A7-413D-A737-306BAE0354B2}">
  <sheetPr>
    <tabColor theme="5"/>
  </sheetPr>
  <dimension ref="A1:M46"/>
  <sheetViews>
    <sheetView tabSelected="1" view="pageLayout" zoomScale="120" zoomScaleNormal="100" zoomScalePageLayoutView="120" workbookViewId="0">
      <selection activeCell="G2" sqref="G2"/>
    </sheetView>
  </sheetViews>
  <sheetFormatPr defaultColWidth="8.69140625" defaultRowHeight="12.9" x14ac:dyDescent="0.35"/>
  <cols>
    <col min="1" max="2" width="19.69140625" style="148" customWidth="1"/>
    <col min="3" max="4" width="9.84375" style="148" customWidth="1"/>
    <col min="5" max="5" width="19.69140625" style="148" customWidth="1"/>
    <col min="6" max="6" width="19.53515625" style="10" customWidth="1"/>
    <col min="7" max="7" width="53.15234375" style="148" customWidth="1"/>
    <col min="8" max="8" width="45.84375" style="148" customWidth="1"/>
    <col min="9" max="9" width="8.69140625" style="148"/>
    <col min="10" max="10" width="26.69140625" style="148" bestFit="1" customWidth="1"/>
    <col min="11" max="11" width="35.69140625" style="148" bestFit="1" customWidth="1"/>
    <col min="12" max="16384" width="8.69140625" style="148"/>
  </cols>
  <sheetData>
    <row r="1" spans="1:10" ht="83.5" customHeight="1" x14ac:dyDescent="0.35">
      <c r="A1" s="63"/>
      <c r="B1" s="64"/>
      <c r="C1" s="64"/>
      <c r="D1" s="63"/>
      <c r="E1" s="64"/>
      <c r="F1" s="206"/>
      <c r="G1" s="335"/>
      <c r="H1" s="65"/>
      <c r="I1" s="65"/>
      <c r="J1" s="65"/>
    </row>
    <row r="2" spans="1:10" ht="153.55000000000001" customHeight="1" x14ac:dyDescent="0.35">
      <c r="A2" s="500" t="s">
        <v>105</v>
      </c>
      <c r="B2" s="500"/>
      <c r="C2" s="500"/>
      <c r="D2" s="500"/>
      <c r="E2" s="500"/>
      <c r="F2" s="500"/>
      <c r="G2" s="335"/>
    </row>
    <row r="3" spans="1:10" ht="158.05000000000001" customHeight="1" x14ac:dyDescent="0.35">
      <c r="A3" s="525" t="s">
        <v>382</v>
      </c>
      <c r="B3" s="500"/>
      <c r="C3" s="500"/>
      <c r="D3" s="500"/>
      <c r="E3" s="500"/>
      <c r="F3" s="500"/>
    </row>
    <row r="4" spans="1:10" ht="4.5" customHeight="1" thickBot="1" x14ac:dyDescent="0.4">
      <c r="A4" s="66"/>
      <c r="B4" s="66"/>
      <c r="C4" s="66"/>
      <c r="D4" s="66"/>
      <c r="E4" s="66"/>
      <c r="F4" s="212"/>
      <c r="G4" s="335"/>
    </row>
    <row r="5" spans="1:10" x14ac:dyDescent="0.35">
      <c r="A5" s="501" t="s">
        <v>0</v>
      </c>
      <c r="B5" s="502"/>
      <c r="C5" s="527"/>
      <c r="D5" s="527"/>
      <c r="E5" s="527"/>
      <c r="F5" s="528"/>
      <c r="G5" s="454"/>
    </row>
    <row r="6" spans="1:10" x14ac:dyDescent="0.35">
      <c r="A6" s="531" t="s">
        <v>177</v>
      </c>
      <c r="B6" s="532"/>
      <c r="C6" s="533"/>
      <c r="D6" s="534"/>
      <c r="E6" s="534"/>
      <c r="F6" s="535"/>
      <c r="G6" s="454"/>
    </row>
    <row r="7" spans="1:10" ht="15.65" customHeight="1" x14ac:dyDescent="0.35">
      <c r="A7" s="503" t="s">
        <v>1</v>
      </c>
      <c r="B7" s="504"/>
      <c r="C7" s="529"/>
      <c r="D7" s="529"/>
      <c r="E7" s="529"/>
      <c r="F7" s="530"/>
      <c r="G7" s="454"/>
    </row>
    <row r="8" spans="1:10" ht="15.65" customHeight="1" x14ac:dyDescent="0.35">
      <c r="A8" s="503" t="s">
        <v>2</v>
      </c>
      <c r="B8" s="504"/>
      <c r="C8" s="529"/>
      <c r="D8" s="529"/>
      <c r="E8" s="529"/>
      <c r="F8" s="530"/>
      <c r="G8" s="454"/>
    </row>
    <row r="9" spans="1:10" ht="13.3" thickBot="1" x14ac:dyDescent="0.4">
      <c r="A9" s="513" t="s">
        <v>3</v>
      </c>
      <c r="B9" s="514"/>
      <c r="C9" s="517"/>
      <c r="D9" s="517"/>
      <c r="E9" s="517"/>
      <c r="F9" s="518"/>
      <c r="G9" s="454"/>
    </row>
    <row r="10" spans="1:10" ht="13.3" thickBot="1" x14ac:dyDescent="0.4">
      <c r="A10" s="66"/>
      <c r="B10" s="66"/>
      <c r="C10" s="66"/>
      <c r="D10" s="67" t="str">
        <f>IF(C11=DropDownLists!A5,"people do you suport ",IF(C11=DropDownLists!A6,"people do you suport ",IF(C11=DropDownLists!A7,"contact hours of care and suport do you deliver",IF(C11=DropDownLists!A8,"contact hours of care and suport do you deliver",IF(C11=DropDownLists!A9,"contact hours of face to face contact time do you deliver")))))</f>
        <v xml:space="preserve">people do you suport </v>
      </c>
      <c r="E10" s="67" t="str">
        <f>IF(C11=DropDownLists!A5,"are 24 hours",IF(C11=DropDownLists!A6,"are 24 hours",IF(C11=DropDownLists!A7,"will depend on the people you suport",IF(C11=DropDownLists!A8,"will depend on the people you suport",IF(C11=DropDownLists!A9,"will depend on the people you suport")))))</f>
        <v>are 24 hours</v>
      </c>
      <c r="F10" s="213" t="b">
        <f>IF(E10="are 24 hours",TRUE)</f>
        <v>1</v>
      </c>
      <c r="G10" s="454"/>
    </row>
    <row r="11" spans="1:10" ht="13.3" thickBot="1" x14ac:dyDescent="0.4">
      <c r="A11" s="515" t="s">
        <v>4</v>
      </c>
      <c r="B11" s="516"/>
      <c r="C11" s="519" t="s">
        <v>13</v>
      </c>
      <c r="D11" s="519"/>
      <c r="E11" s="519"/>
      <c r="F11" s="520"/>
      <c r="G11" s="454"/>
    </row>
    <row r="12" spans="1:10" ht="15.65" customHeight="1" x14ac:dyDescent="0.35">
      <c r="A12" s="505" t="s">
        <v>106</v>
      </c>
      <c r="B12" s="506"/>
      <c r="C12" s="521"/>
      <c r="D12" s="521"/>
      <c r="E12" s="389"/>
      <c r="F12" s="311"/>
      <c r="G12" s="454"/>
    </row>
    <row r="13" spans="1:10" ht="13.3" thickBot="1" x14ac:dyDescent="0.4">
      <c r="A13" s="507"/>
      <c r="B13" s="508"/>
      <c r="C13" s="522"/>
      <c r="D13" s="522"/>
      <c r="E13" s="390"/>
      <c r="F13" s="312"/>
      <c r="G13" s="14"/>
    </row>
    <row r="14" spans="1:10" ht="13" customHeight="1" x14ac:dyDescent="0.35">
      <c r="A14" s="509" t="s">
        <v>12</v>
      </c>
      <c r="B14" s="510"/>
      <c r="C14" s="523" t="s">
        <v>5</v>
      </c>
      <c r="D14" s="523"/>
      <c r="E14" s="349"/>
      <c r="F14" s="350"/>
      <c r="G14" s="14"/>
    </row>
    <row r="15" spans="1:10" ht="13.3" thickBot="1" x14ac:dyDescent="0.4">
      <c r="A15" s="511"/>
      <c r="B15" s="512"/>
      <c r="C15" s="524"/>
      <c r="D15" s="524"/>
      <c r="E15" s="351"/>
      <c r="F15" s="352"/>
      <c r="G15" s="14"/>
    </row>
    <row r="16" spans="1:10" ht="5.05" customHeight="1" x14ac:dyDescent="0.35">
      <c r="A16" s="347"/>
      <c r="B16" s="347"/>
      <c r="C16" s="347"/>
      <c r="D16" s="347"/>
      <c r="E16" s="347"/>
      <c r="F16" s="348" t="str">
        <f>(IF(F17="daily","day",LEFT(F17,LEN(F17)-2)))</f>
        <v>month</v>
      </c>
      <c r="G16" s="14"/>
    </row>
    <row r="17" spans="1:8" ht="13.3" thickBot="1" x14ac:dyDescent="0.4">
      <c r="A17" s="115" t="s">
        <v>300</v>
      </c>
      <c r="B17" s="116"/>
      <c r="C17" s="116"/>
      <c r="D17" s="116"/>
      <c r="E17" s="116"/>
      <c r="F17" s="414" t="s">
        <v>17</v>
      </c>
      <c r="G17" s="14"/>
    </row>
    <row r="18" spans="1:8" ht="5.05" customHeight="1" x14ac:dyDescent="0.35">
      <c r="A18" s="67"/>
      <c r="B18" s="67"/>
      <c r="C18" s="67" t="s">
        <v>341</v>
      </c>
      <c r="D18" s="67">
        <f>IF(ISBLANK(F21),F19,F21)</f>
        <v>0</v>
      </c>
      <c r="E18" s="367" t="s">
        <v>160</v>
      </c>
      <c r="F18" s="213">
        <f>IF(ISBLANK(F19),F21,F19)</f>
        <v>0</v>
      </c>
      <c r="G18" s="14"/>
    </row>
    <row r="19" spans="1:8" x14ac:dyDescent="0.35">
      <c r="A19" s="526" t="str">
        <f>"How many "&amp;D10&amp;" in an average "&amp;(IF(F17="daily","day",LEFT(F17,LEN(F17)-2)))&amp;"?"</f>
        <v>How many people do you suport  in an average month?</v>
      </c>
      <c r="B19" s="526"/>
      <c r="C19" s="526"/>
      <c r="D19" s="526"/>
      <c r="E19" s="526"/>
      <c r="F19" s="415"/>
      <c r="G19" s="14"/>
    </row>
    <row r="20" spans="1:8" x14ac:dyDescent="0.35">
      <c r="A20" s="504" t="s">
        <v>277</v>
      </c>
      <c r="B20" s="504"/>
      <c r="C20" s="504"/>
      <c r="D20" s="504"/>
      <c r="E20" s="504"/>
      <c r="F20" s="218"/>
      <c r="G20" s="14"/>
    </row>
    <row r="21" spans="1:8" x14ac:dyDescent="0.35">
      <c r="A21" s="504" t="str">
        <f>"How many "&amp;(IF(C11=DropDownLists!A5,"rooms","units"))&amp;" are in your "&amp;(IF(C11=DropDownLists!A5,"care home","residential complex"))&amp;"?"</f>
        <v>How many rooms are in your care home?</v>
      </c>
      <c r="B21" s="504"/>
      <c r="C21" s="504"/>
      <c r="D21" s="504"/>
      <c r="E21" s="504"/>
      <c r="F21" s="218"/>
      <c r="G21" s="14"/>
    </row>
    <row r="22" spans="1:8" ht="43" customHeight="1" x14ac:dyDescent="0.35">
      <c r="A22" s="490" t="str">
        <f>"You have told us that you are using this workbook to report on "&amp;C11&amp;". Due to this we are asuming that your hours of direct service delivery  "&amp;E10&amp;". However we also want to understand the business management hours it takes to suport the care and suport delivery."</f>
        <v>You have told us that you are using this workbook to report on Highly Specialised Accommodation (e.g. nursing care). Due to this we are asuming that your hours of direct service delivery  are 24 hours. However we also want to understand the business management hours it takes to suport the care and suport delivery.</v>
      </c>
      <c r="B22" s="490"/>
      <c r="C22" s="490"/>
      <c r="D22" s="490"/>
      <c r="E22" s="490"/>
      <c r="F22" s="490"/>
      <c r="G22" s="14"/>
    </row>
    <row r="23" spans="1:8" ht="23.15" customHeight="1" x14ac:dyDescent="0.35">
      <c r="A23" s="480" t="str">
        <f>"What hours is your service open, either delivering care and support, or planning service delivery in an average "&amp;(IF(F17="daily","day",LEFT(F17,LEN(F17)-2)))&amp;"?"</f>
        <v>What hours is your service open, either delivering care and support, or planning service delivery in an average month?</v>
      </c>
      <c r="B23" s="480"/>
      <c r="C23" s="480"/>
      <c r="D23" s="480"/>
      <c r="E23" s="480"/>
      <c r="F23" s="216"/>
      <c r="G23" s="14"/>
    </row>
    <row r="24" spans="1:8" x14ac:dyDescent="0.35">
      <c r="A24" s="491" t="s">
        <v>157</v>
      </c>
      <c r="B24" s="491"/>
      <c r="C24" s="491"/>
      <c r="D24" s="491"/>
      <c r="E24" s="491"/>
      <c r="F24" s="217"/>
      <c r="G24" s="14"/>
    </row>
    <row r="25" spans="1:8" ht="4.3" hidden="1" customHeight="1" x14ac:dyDescent="0.35">
      <c r="A25" s="52"/>
      <c r="B25" s="52"/>
      <c r="C25" s="52"/>
      <c r="D25" s="70" t="s">
        <v>278</v>
      </c>
      <c r="E25" s="189" t="s">
        <v>194</v>
      </c>
      <c r="F25" s="191"/>
      <c r="G25" s="14"/>
    </row>
    <row r="26" spans="1:8" ht="14.5" customHeight="1" x14ac:dyDescent="0.35">
      <c r="A26" s="451" t="s">
        <v>378</v>
      </c>
      <c r="B26" s="452" t="s">
        <v>380</v>
      </c>
      <c r="C26" s="453">
        <v>0.9</v>
      </c>
      <c r="D26" s="70">
        <f>C26*F21</f>
        <v>0</v>
      </c>
      <c r="E26" s="70">
        <v>52</v>
      </c>
      <c r="F26" s="191"/>
      <c r="G26" s="14"/>
    </row>
    <row r="27" spans="1:8" ht="14.25" customHeight="1" x14ac:dyDescent="0.35">
      <c r="A27" s="448" t="s">
        <v>379</v>
      </c>
      <c r="B27" s="449" t="s">
        <v>381</v>
      </c>
      <c r="C27" s="450" t="e">
        <f>TEXT(('About your business'!F19/'About your business'!F21)*100,"##.##")&amp; "% "</f>
        <v>#DIV/0!</v>
      </c>
      <c r="D27" s="52"/>
      <c r="E27" s="52"/>
      <c r="F27" s="191"/>
      <c r="G27" s="14"/>
    </row>
    <row r="28" spans="1:8" ht="13.5" customHeight="1" x14ac:dyDescent="0.4">
      <c r="A28" s="499" t="s">
        <v>322</v>
      </c>
      <c r="B28" s="499"/>
      <c r="C28" s="499"/>
      <c r="D28" s="499"/>
      <c r="E28" s="499"/>
      <c r="F28" s="499"/>
      <c r="G28" s="14"/>
    </row>
    <row r="29" spans="1:8" ht="12.9" hidden="1" customHeight="1" x14ac:dyDescent="0.35">
      <c r="A29" s="47"/>
      <c r="B29" s="47"/>
      <c r="C29" s="492" t="s">
        <v>316</v>
      </c>
      <c r="D29" s="493"/>
      <c r="E29" s="494"/>
      <c r="F29" s="191"/>
    </row>
    <row r="30" spans="1:8" ht="25.75" hidden="1" customHeight="1" x14ac:dyDescent="0.35">
      <c r="A30" s="47"/>
      <c r="B30" s="47"/>
      <c r="C30" s="495" t="s">
        <v>253</v>
      </c>
      <c r="D30" s="496"/>
      <c r="E30" s="236" t="str">
        <f>"Per person per "&amp;(IF(F17="daily","day",LEFT(F17,LEN(F17)-2)))&amp;" @ "&amp;(C26*100)&amp;"% activity"</f>
        <v>Per person per month @ 90% activity</v>
      </c>
      <c r="F30" s="191"/>
      <c r="G30" s="313"/>
    </row>
    <row r="31" spans="1:8" ht="12.9" hidden="1" customHeight="1" x14ac:dyDescent="0.35">
      <c r="A31" s="487" t="s">
        <v>203</v>
      </c>
      <c r="B31" s="487"/>
      <c r="C31" s="497" t="e">
        <f>SUM('Business Running Costs'!F74:F75)</f>
        <v>#VALUE!</v>
      </c>
      <c r="D31" s="498"/>
      <c r="E31" s="391">
        <f>IFERROR((C31/$D$26)/$E$26,0)</f>
        <v>0</v>
      </c>
      <c r="F31" s="191"/>
      <c r="H31" s="314"/>
    </row>
    <row r="32" spans="1:8" ht="12.9" hidden="1" customHeight="1" x14ac:dyDescent="0.35">
      <c r="A32" s="487" t="s">
        <v>204</v>
      </c>
      <c r="B32" s="487"/>
      <c r="C32" s="488">
        <f>'Business Running Costs'!F78</f>
        <v>0</v>
      </c>
      <c r="D32" s="489"/>
      <c r="E32" s="391">
        <f>IFERROR((C32/$D$26)/$E$26,0)</f>
        <v>0</v>
      </c>
      <c r="F32" s="191"/>
      <c r="H32" s="314"/>
    </row>
    <row r="33" spans="1:13" ht="12.9" hidden="1" customHeight="1" x14ac:dyDescent="0.35">
      <c r="A33" s="487" t="s">
        <v>205</v>
      </c>
      <c r="B33" s="487"/>
      <c r="C33" s="488">
        <f>SUM('Business Running Costs'!F79,'Business Running Costs'!F76)</f>
        <v>0</v>
      </c>
      <c r="D33" s="489"/>
      <c r="E33" s="391">
        <f>IFERROR((C33/$D$26)/$E$26,0)</f>
        <v>0</v>
      </c>
      <c r="F33" s="191"/>
      <c r="H33" s="314"/>
      <c r="M33" s="148">
        <f>67-15.4</f>
        <v>51.6</v>
      </c>
    </row>
    <row r="34" spans="1:13" ht="12.9" hidden="1" customHeight="1" x14ac:dyDescent="0.35">
      <c r="A34" s="52"/>
      <c r="B34" s="190" t="s">
        <v>195</v>
      </c>
      <c r="C34" s="486" t="e">
        <f>SUM(C31:D33)</f>
        <v>#VALUE!</v>
      </c>
      <c r="D34" s="486"/>
      <c r="E34" s="229">
        <f>SUM(E31:E33)</f>
        <v>0</v>
      </c>
      <c r="F34" s="191"/>
      <c r="H34" s="314"/>
    </row>
    <row r="35" spans="1:13" ht="4.5" hidden="1" customHeight="1" x14ac:dyDescent="0.35">
      <c r="A35" s="52"/>
      <c r="B35" s="208"/>
      <c r="C35" s="209"/>
      <c r="D35" s="210"/>
      <c r="E35" s="211"/>
      <c r="F35" s="191"/>
      <c r="H35" s="314"/>
    </row>
    <row r="36" spans="1:13" ht="12.9" hidden="1" customHeight="1" x14ac:dyDescent="0.35">
      <c r="A36" s="477" t="s">
        <v>212</v>
      </c>
      <c r="B36" s="477"/>
      <c r="C36" s="477"/>
      <c r="D36" s="478"/>
      <c r="E36" s="481" t="s">
        <v>226</v>
      </c>
      <c r="F36" s="481"/>
      <c r="G36" s="343"/>
    </row>
    <row r="37" spans="1:13" ht="25.75" hidden="1" customHeight="1" x14ac:dyDescent="0.35">
      <c r="A37" s="63"/>
      <c r="B37" s="237" t="s">
        <v>211</v>
      </c>
      <c r="C37" s="538" t="s">
        <v>225</v>
      </c>
      <c r="D37" s="539"/>
      <c r="E37" s="207" t="s">
        <v>253</v>
      </c>
      <c r="F37" s="238" t="str">
        <f>"Per person per "&amp;(IF(F17="daily","day",LEFT(F17,LEN(F17)-2)))&amp;" @ "&amp;(C26*100)&amp;"% activity"</f>
        <v>Per person per month @ 90% activity</v>
      </c>
      <c r="H37" s="314"/>
    </row>
    <row r="38" spans="1:13" ht="12.9" hidden="1" customHeight="1" x14ac:dyDescent="0.35">
      <c r="A38" s="394" t="str">
        <f>'Business Running Costs'!C68</f>
        <v>Gas</v>
      </c>
      <c r="B38" s="239">
        <f>'Business Running Costs'!D68</f>
        <v>0</v>
      </c>
      <c r="C38" s="482">
        <f>'Business Running Costs'!E68</f>
        <v>0</v>
      </c>
      <c r="D38" s="483"/>
      <c r="E38" s="223" t="e">
        <f>'Business Running Costs'!H68</f>
        <v>#VALUE!</v>
      </c>
      <c r="F38" s="240">
        <f>IFERROR((E38/$D$26)/$E$26,0)</f>
        <v>0</v>
      </c>
      <c r="G38" s="119"/>
    </row>
    <row r="39" spans="1:13" ht="12.9" hidden="1" customHeight="1" x14ac:dyDescent="0.35">
      <c r="A39" s="394" t="str">
        <f>'Business Running Costs'!C69</f>
        <v>Electricity</v>
      </c>
      <c r="B39" s="239">
        <f>'Business Running Costs'!D69</f>
        <v>0</v>
      </c>
      <c r="C39" s="482">
        <f>'Business Running Costs'!E69</f>
        <v>0</v>
      </c>
      <c r="D39" s="483"/>
      <c r="E39" s="223" t="e">
        <f>'Business Running Costs'!H69</f>
        <v>#VALUE!</v>
      </c>
      <c r="F39" s="240">
        <f>IFERROR((E39/$D$26)/$E$26,0)</f>
        <v>0</v>
      </c>
    </row>
    <row r="40" spans="1:13" ht="12.9" hidden="1" customHeight="1" x14ac:dyDescent="0.35">
      <c r="A40" s="394" t="str">
        <f>'Business Running Costs'!C70</f>
        <v>Insurance</v>
      </c>
      <c r="B40" s="239">
        <f>'Business Running Costs'!D70</f>
        <v>0</v>
      </c>
      <c r="C40" s="482">
        <f>'Business Running Costs'!E70</f>
        <v>0</v>
      </c>
      <c r="D40" s="483"/>
      <c r="E40" s="223" t="e">
        <f>'Business Running Costs'!H70</f>
        <v>#VALUE!</v>
      </c>
      <c r="F40" s="240">
        <f>IFERROR((E40/$D$26)/$E$26,0)</f>
        <v>0</v>
      </c>
    </row>
    <row r="41" spans="1:13" ht="5.5" hidden="1" customHeight="1" x14ac:dyDescent="0.35">
      <c r="A41" s="54"/>
      <c r="B41" s="54"/>
      <c r="C41" s="54"/>
      <c r="D41" s="54"/>
      <c r="E41" s="54"/>
      <c r="F41" s="224"/>
    </row>
    <row r="42" spans="1:13" ht="30.55" hidden="1" customHeight="1" x14ac:dyDescent="0.35">
      <c r="A42" s="540" t="s">
        <v>317</v>
      </c>
      <c r="B42" s="540"/>
      <c r="C42" s="540"/>
      <c r="D42" s="243" t="s">
        <v>214</v>
      </c>
      <c r="E42" s="113" t="s">
        <v>254</v>
      </c>
      <c r="F42" s="238" t="str">
        <f>"Per person per "&amp;(IF(F17="daily","day",LEFT(F17,LEN(F17)-2)))&amp;" @ "&amp;(C26*100)&amp;"% activity"</f>
        <v>Per person per month @ 90% activity</v>
      </c>
      <c r="G42" s="314"/>
    </row>
    <row r="43" spans="1:13" hidden="1" x14ac:dyDescent="0.35">
      <c r="A43" s="484" t="s">
        <v>213</v>
      </c>
      <c r="B43" s="485"/>
      <c r="C43" s="485"/>
      <c r="D43" s="241"/>
      <c r="E43" s="223">
        <f>'Business Running Costs'!D80</f>
        <v>0</v>
      </c>
      <c r="F43" s="242">
        <f>IFERROR((E43/$D$26)/$E$26,0)</f>
        <v>0</v>
      </c>
    </row>
    <row r="44" spans="1:13" hidden="1" x14ac:dyDescent="0.35">
      <c r="A44" s="537" t="s">
        <v>215</v>
      </c>
      <c r="B44" s="537"/>
      <c r="C44" s="537"/>
      <c r="D44" s="239">
        <f>IFERROR((F44-F43)/F43,0)</f>
        <v>0</v>
      </c>
      <c r="E44" s="226">
        <f>'Business Running Costs'!E80</f>
        <v>0</v>
      </c>
      <c r="F44" s="242">
        <f>IFERROR((E44/$D$26)/$E$26,0)</f>
        <v>0</v>
      </c>
      <c r="G44" s="475" t="str">
        <f>"Cost increase per person per "&amp;(IF(F17="daily","day",LEFT(F17,LEN(F17)-2)))&amp;" between last financial year and now = "&amp;TEXT((F44-F43),"£#,##0.00")</f>
        <v>Cost increase per person per month between last financial year and now = £0.00</v>
      </c>
      <c r="H44" s="476"/>
    </row>
    <row r="45" spans="1:13" hidden="1" x14ac:dyDescent="0.35">
      <c r="A45" s="537" t="str">
        <f>"Once all known increases impact. Projection as of "&amp;TEXT(MAXA(C38:D40,'Business Running Costs'!G3),"DD.MM.YY")</f>
        <v>Once all known increases impact. Projection as of 00.01.00</v>
      </c>
      <c r="B45" s="537"/>
      <c r="C45" s="537"/>
      <c r="D45" s="239">
        <f>IFERROR((F45-F43)/F43,0)</f>
        <v>0</v>
      </c>
      <c r="E45" s="226">
        <f>IFERROR(SUM('Business Running Costs'!A7:A41),0)</f>
        <v>0</v>
      </c>
      <c r="F45" s="242">
        <f>IFERROR((E45/$D$26)/$E$26,0)</f>
        <v>0</v>
      </c>
      <c r="G45" s="479" t="str">
        <f>"Cost increase per person per "&amp;(IF(F17="daily","day",LEFT(F17,LEN(F17)-2)))&amp;" between last financial year and future known cost increase = "&amp;TEXT((F45-F43),"£#,##0.00")</f>
        <v>Cost increase per person per month between last financial year and future known cost increase = £0.00</v>
      </c>
      <c r="H45" s="477"/>
    </row>
    <row r="46" spans="1:13" ht="26.5" hidden="1" customHeight="1" x14ac:dyDescent="0.35">
      <c r="A46" s="536" t="s">
        <v>315</v>
      </c>
      <c r="B46" s="536"/>
      <c r="C46" s="536"/>
      <c r="D46" s="536"/>
      <c r="E46" s="536"/>
      <c r="F46" s="536"/>
    </row>
  </sheetData>
  <sheetProtection algorithmName="SHA-512" hashValue="a4AOlROtTO8cyLoQ0GoGwcdRBLm+tlUCaN+OmNDjoooYCHSJsFNJUrlxD90i+d6iGInlVW2dCM3ZFe6AxGHGZA==" saltValue="FEGX0JLEIjEM1ox4tGIs+Q==" spinCount="100000" sheet="1" objects="1" scenarios="1"/>
  <mergeCells count="49">
    <mergeCell ref="A46:F46"/>
    <mergeCell ref="A44:C44"/>
    <mergeCell ref="A45:C45"/>
    <mergeCell ref="C37:D37"/>
    <mergeCell ref="A42:C42"/>
    <mergeCell ref="A20:E20"/>
    <mergeCell ref="A21:E21"/>
    <mergeCell ref="A19:E19"/>
    <mergeCell ref="A8:B8"/>
    <mergeCell ref="C5:F5"/>
    <mergeCell ref="C7:F7"/>
    <mergeCell ref="C8:F8"/>
    <mergeCell ref="A6:B6"/>
    <mergeCell ref="C6:F6"/>
    <mergeCell ref="A2:F2"/>
    <mergeCell ref="A5:B5"/>
    <mergeCell ref="A7:B7"/>
    <mergeCell ref="A12:B13"/>
    <mergeCell ref="A14:B15"/>
    <mergeCell ref="A9:B9"/>
    <mergeCell ref="A11:B11"/>
    <mergeCell ref="C9:F9"/>
    <mergeCell ref="C11:F11"/>
    <mergeCell ref="C12:D12"/>
    <mergeCell ref="C13:D13"/>
    <mergeCell ref="C14:D14"/>
    <mergeCell ref="C15:D15"/>
    <mergeCell ref="A3:F3"/>
    <mergeCell ref="A22:F22"/>
    <mergeCell ref="A24:E24"/>
    <mergeCell ref="C29:E29"/>
    <mergeCell ref="A31:B31"/>
    <mergeCell ref="A32:B32"/>
    <mergeCell ref="C30:D30"/>
    <mergeCell ref="C31:D31"/>
    <mergeCell ref="C32:D32"/>
    <mergeCell ref="A28:F28"/>
    <mergeCell ref="G44:H44"/>
    <mergeCell ref="A36:D36"/>
    <mergeCell ref="G45:H45"/>
    <mergeCell ref="A23:E23"/>
    <mergeCell ref="E36:F36"/>
    <mergeCell ref="C38:D38"/>
    <mergeCell ref="C39:D39"/>
    <mergeCell ref="C40:D40"/>
    <mergeCell ref="A43:C43"/>
    <mergeCell ref="C34:D34"/>
    <mergeCell ref="A33:B33"/>
    <mergeCell ref="C33:D33"/>
  </mergeCells>
  <conditionalFormatting sqref="A22:F24">
    <cfRule type="expression" dxfId="215" priority="9">
      <formula>$F$10=TRUE</formula>
    </cfRule>
  </conditionalFormatting>
  <conditionalFormatting sqref="A22:F22">
    <cfRule type="expression" dxfId="214" priority="4">
      <formula>$F$10=TRUE</formula>
    </cfRule>
  </conditionalFormatting>
  <conditionalFormatting sqref="A20:F21">
    <cfRule type="expression" dxfId="213" priority="2">
      <formula>$F$10=FALSE</formula>
    </cfRule>
  </conditionalFormatting>
  <conditionalFormatting sqref="A37:F41 A45:F45 A36 E36:F36">
    <cfRule type="expression" dxfId="212" priority="1">
      <formula>#REF!=FALSE</formula>
    </cfRule>
  </conditionalFormatting>
  <hyperlinks>
    <hyperlink ref="A28:F28" location="'Staffing Wages'!A1" display="Now fill in / update the staffing wages tab. " xr:uid="{02806CBF-52A3-4AD4-958C-CC440752124F}"/>
  </hyperlinks>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30BDF43-42D2-4846-824B-B1276D243FD8}">
          <x14:formula1>
            <xm:f>DropDownLists!$D$5:$D$25</xm:f>
          </x14:formula1>
          <xm:sqref>F17</xm:sqref>
        </x14:dataValidation>
        <x14:dataValidation type="list" errorStyle="information" allowBlank="1" showInputMessage="1" showErrorMessage="1" errorTitle="Other types of care" error="Please select the option from the drop down, and only enter an alternative if non of the options fit." xr:uid="{20D66B7B-7FD7-47C4-B0AE-3AFA8BC90834}">
          <x14:formula1>
            <xm:f>DropDownLists!$C$5:$C$12</xm:f>
          </x14:formula1>
          <xm:sqref>C12:F13</xm:sqref>
        </x14:dataValidation>
        <x14:dataValidation type="list" allowBlank="1" showInputMessage="1" showErrorMessage="1" xr:uid="{137DBEA6-20A1-4D9C-80D5-B41E4AF44685}">
          <x14:formula1>
            <xm:f>DropDownLists!$B$5:$B$14</xm:f>
          </x14:formula1>
          <xm:sqref>C14:F15</xm:sqref>
        </x14:dataValidation>
        <x14:dataValidation type="list" allowBlank="1" showInputMessage="1" showErrorMessage="1" xr:uid="{AE4F4E79-FA0F-492F-857C-271D6ADDC5F0}">
          <x14:formula1>
            <xm:f>DropDownLists!$A$5:$A$11</xm:f>
          </x14:formula1>
          <xm:sqref>C11:F11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9C03-0172-4168-954F-02D08B3461C0}">
  <dimension ref="A1:T353"/>
  <sheetViews>
    <sheetView workbookViewId="0">
      <selection activeCell="E22" sqref="E22"/>
    </sheetView>
  </sheetViews>
  <sheetFormatPr defaultColWidth="8.69140625" defaultRowHeight="14.6" x14ac:dyDescent="0.4"/>
  <cols>
    <col min="1" max="1" width="3.23046875" style="231" customWidth="1"/>
    <col min="2" max="9" width="16.53515625" style="231" customWidth="1"/>
    <col min="10" max="11" width="3" style="253" customWidth="1"/>
    <col min="12" max="12" width="19.84375" style="231" customWidth="1"/>
    <col min="13" max="13" width="22.84375" style="231" customWidth="1"/>
    <col min="14" max="14" width="20.23046875" style="231" customWidth="1"/>
    <col min="15" max="16" width="17.07421875" style="231" customWidth="1"/>
    <col min="17" max="17" width="19.84375" style="231" customWidth="1"/>
    <col min="18" max="16384" width="8.69140625" style="231"/>
  </cols>
  <sheetData>
    <row r="1" spans="1:20" ht="41.5" customHeight="1" thickBot="1" x14ac:dyDescent="0.45">
      <c r="B1" s="678" t="s">
        <v>243</v>
      </c>
      <c r="C1" s="678"/>
      <c r="D1" s="678"/>
      <c r="E1" s="678"/>
      <c r="F1" s="678"/>
      <c r="G1" s="678"/>
      <c r="H1" s="678"/>
      <c r="I1" s="678"/>
      <c r="J1" s="678"/>
    </row>
    <row r="2" spans="1:20" ht="59.05" customHeight="1" x14ac:dyDescent="0.4">
      <c r="A2" s="254"/>
      <c r="B2" s="662" t="s">
        <v>244</v>
      </c>
      <c r="C2" s="662"/>
      <c r="D2" s="662"/>
      <c r="E2" s="662"/>
      <c r="F2" s="662"/>
      <c r="G2" s="662"/>
      <c r="H2" s="662"/>
      <c r="I2" s="662"/>
      <c r="J2" s="256"/>
      <c r="K2" s="275"/>
      <c r="L2" s="663" t="s">
        <v>232</v>
      </c>
      <c r="M2" s="664"/>
      <c r="N2" s="664"/>
      <c r="O2" s="664"/>
      <c r="P2" s="664"/>
      <c r="Q2" s="664"/>
      <c r="R2" s="664"/>
      <c r="S2" s="664"/>
      <c r="T2" s="665"/>
    </row>
    <row r="3" spans="1:20" ht="27.55" customHeight="1" x14ac:dyDescent="0.4">
      <c r="A3" s="257"/>
      <c r="B3" s="660" t="s">
        <v>234</v>
      </c>
      <c r="C3" s="660"/>
      <c r="D3" s="660"/>
      <c r="E3" s="248">
        <v>21.1</v>
      </c>
      <c r="F3" s="661" t="s">
        <v>245</v>
      </c>
      <c r="G3" s="661"/>
      <c r="H3" s="661"/>
      <c r="I3" s="248">
        <v>7.5</v>
      </c>
      <c r="J3" s="258"/>
      <c r="K3" s="275"/>
      <c r="L3" s="281"/>
      <c r="M3" s="282"/>
      <c r="N3" s="282"/>
      <c r="O3" s="282"/>
      <c r="P3" s="282"/>
      <c r="Q3" s="282"/>
      <c r="R3" s="282"/>
      <c r="S3" s="282"/>
      <c r="T3" s="283"/>
    </row>
    <row r="4" spans="1:20" ht="33" customHeight="1" x14ac:dyDescent="0.4">
      <c r="A4" s="257"/>
      <c r="B4" s="661" t="s">
        <v>246</v>
      </c>
      <c r="C4" s="661"/>
      <c r="D4" s="661"/>
      <c r="E4" s="299">
        <v>15.4</v>
      </c>
      <c r="F4" s="666" t="s">
        <v>233</v>
      </c>
      <c r="G4" s="666"/>
      <c r="H4" s="666"/>
      <c r="I4" s="299">
        <v>3.3</v>
      </c>
      <c r="J4" s="258"/>
      <c r="K4" s="275"/>
      <c r="L4" s="667" t="s">
        <v>262</v>
      </c>
      <c r="M4" s="668"/>
      <c r="N4" s="668"/>
      <c r="O4" s="669" t="s">
        <v>265</v>
      </c>
      <c r="P4" s="669"/>
      <c r="Q4" s="669"/>
      <c r="R4" s="669"/>
      <c r="S4" s="669"/>
      <c r="T4" s="670"/>
    </row>
    <row r="5" spans="1:20" ht="70.5" customHeight="1" thickBot="1" x14ac:dyDescent="0.45">
      <c r="A5" s="257"/>
      <c r="B5" s="232"/>
      <c r="C5" s="233" t="s">
        <v>230</v>
      </c>
      <c r="D5" s="233" t="s">
        <v>231</v>
      </c>
      <c r="E5" s="233" t="s">
        <v>247</v>
      </c>
      <c r="F5" s="244" t="s">
        <v>221</v>
      </c>
      <c r="G5" s="244" t="s">
        <v>227</v>
      </c>
      <c r="H5" s="245" t="s">
        <v>218</v>
      </c>
      <c r="I5" s="246" t="s">
        <v>248</v>
      </c>
      <c r="J5" s="258"/>
      <c r="K5" s="275"/>
      <c r="L5" s="683" t="s">
        <v>264</v>
      </c>
      <c r="M5" s="684"/>
      <c r="N5" s="684"/>
      <c r="O5" s="669"/>
      <c r="P5" s="669"/>
      <c r="Q5" s="669"/>
      <c r="R5" s="669"/>
      <c r="S5" s="669"/>
      <c r="T5" s="670"/>
    </row>
    <row r="6" spans="1:20" ht="25.5" customHeight="1" thickTop="1" thickBot="1" x14ac:dyDescent="0.45">
      <c r="A6" s="257"/>
      <c r="B6" s="250" t="s">
        <v>198</v>
      </c>
      <c r="C6" s="249"/>
      <c r="D6" s="259"/>
      <c r="E6" s="259"/>
      <c r="F6" s="260">
        <f>IF(E6&lt;=I3,0,IF(E6&gt;SUM(I3:I4),I4,E6-I3))</f>
        <v>0</v>
      </c>
      <c r="G6" s="260">
        <f>E6-F6</f>
        <v>0</v>
      </c>
      <c r="H6" s="261">
        <f>IF(ISBLANK(E6),0,((E6-F6)-D6)/D6)</f>
        <v>0</v>
      </c>
      <c r="I6" s="294">
        <f>(C6*G6/100)</f>
        <v>0</v>
      </c>
      <c r="J6" s="258"/>
      <c r="K6" s="275"/>
      <c r="L6" s="680" t="s">
        <v>263</v>
      </c>
      <c r="M6" s="681"/>
      <c r="N6" s="681"/>
      <c r="O6" s="681"/>
      <c r="P6" s="681"/>
      <c r="Q6" s="681"/>
      <c r="R6" s="681"/>
      <c r="S6" s="681"/>
      <c r="T6" s="682"/>
    </row>
    <row r="7" spans="1:20" ht="25.5" customHeight="1" thickTop="1" thickBot="1" x14ac:dyDescent="0.45">
      <c r="A7" s="257"/>
      <c r="B7" s="250" t="s">
        <v>217</v>
      </c>
      <c r="C7" s="249"/>
      <c r="D7" s="262"/>
      <c r="E7" s="262"/>
      <c r="F7" s="260">
        <f>IF(E7&lt;=E3,0,IF(E7&gt;SUM(E3:E4),E4,E7-E3))</f>
        <v>0</v>
      </c>
      <c r="G7" s="260">
        <f>E7-F7</f>
        <v>0</v>
      </c>
      <c r="H7" s="261">
        <f>IF(ISBLANK(E7),0,((E7-F7)-D7)/D7)</f>
        <v>0</v>
      </c>
      <c r="I7" s="294">
        <f>(C7*G7/100)</f>
        <v>0</v>
      </c>
      <c r="J7" s="258"/>
      <c r="K7" s="275"/>
      <c r="L7" s="298"/>
      <c r="M7" s="300"/>
      <c r="N7" s="282"/>
      <c r="O7" s="282"/>
      <c r="P7" s="282"/>
      <c r="Q7" s="282"/>
      <c r="R7" s="282"/>
      <c r="S7" s="282"/>
      <c r="T7" s="283"/>
    </row>
    <row r="8" spans="1:20" ht="25.5" customHeight="1" thickTop="1" x14ac:dyDescent="0.4">
      <c r="A8" s="257"/>
      <c r="B8" s="679" t="s">
        <v>249</v>
      </c>
      <c r="C8" s="679"/>
      <c r="D8" s="679"/>
      <c r="E8" s="679"/>
      <c r="F8" s="679"/>
      <c r="G8" s="679"/>
      <c r="H8" s="679"/>
      <c r="I8" s="679"/>
      <c r="J8" s="258"/>
      <c r="K8" s="275"/>
      <c r="L8" s="281"/>
      <c r="M8" s="282"/>
      <c r="N8" s="282"/>
      <c r="O8" s="282"/>
      <c r="P8" s="282"/>
      <c r="Q8" s="282"/>
      <c r="R8" s="282"/>
      <c r="S8" s="282"/>
      <c r="T8" s="283"/>
    </row>
    <row r="9" spans="1:20" ht="25.5" customHeight="1" x14ac:dyDescent="0.4">
      <c r="A9" s="257"/>
      <c r="B9" s="679"/>
      <c r="C9" s="679"/>
      <c r="D9" s="679"/>
      <c r="E9" s="679"/>
      <c r="F9" s="679"/>
      <c r="G9" s="679"/>
      <c r="H9" s="679"/>
      <c r="I9" s="679"/>
      <c r="J9" s="258"/>
      <c r="K9" s="275"/>
      <c r="L9" s="281"/>
      <c r="M9" s="282"/>
      <c r="N9" s="282"/>
      <c r="O9" s="282"/>
      <c r="P9" s="282"/>
      <c r="Q9" s="282"/>
      <c r="R9" s="282"/>
      <c r="S9" s="282"/>
      <c r="T9" s="283"/>
    </row>
    <row r="10" spans="1:20" ht="25.5" customHeight="1" x14ac:dyDescent="0.4">
      <c r="A10" s="257"/>
      <c r="B10" s="679"/>
      <c r="C10" s="679"/>
      <c r="D10" s="679"/>
      <c r="E10" s="679"/>
      <c r="F10" s="679"/>
      <c r="G10" s="679"/>
      <c r="H10" s="679"/>
      <c r="I10" s="679"/>
      <c r="J10" s="258"/>
      <c r="K10" s="275"/>
      <c r="L10" s="281"/>
      <c r="M10" s="282"/>
      <c r="N10" s="282"/>
      <c r="O10" s="282"/>
      <c r="P10" s="282"/>
      <c r="Q10" s="282"/>
      <c r="R10" s="282"/>
      <c r="S10" s="282"/>
      <c r="T10" s="283"/>
    </row>
    <row r="11" spans="1:20" ht="25.5" customHeight="1" thickBot="1" x14ac:dyDescent="0.45">
      <c r="A11" s="263"/>
      <c r="B11" s="656" t="s">
        <v>228</v>
      </c>
      <c r="C11" s="656"/>
      <c r="D11" s="656"/>
      <c r="E11" s="656"/>
      <c r="F11" s="656"/>
      <c r="G11" s="656"/>
      <c r="H11" s="656"/>
      <c r="I11" s="656"/>
      <c r="J11" s="265"/>
      <c r="L11" s="281"/>
      <c r="M11" s="282"/>
      <c r="N11" s="282"/>
      <c r="O11" s="282"/>
      <c r="P11" s="282"/>
      <c r="Q11" s="282"/>
      <c r="R11" s="282"/>
      <c r="S11" s="282"/>
      <c r="T11" s="283"/>
    </row>
    <row r="12" spans="1:20" ht="25.5" customHeight="1" thickBot="1" x14ac:dyDescent="0.45">
      <c r="L12" s="281"/>
      <c r="M12" s="282"/>
      <c r="N12" s="282"/>
      <c r="O12" s="282"/>
      <c r="P12" s="282"/>
      <c r="Q12" s="282"/>
      <c r="R12" s="282"/>
      <c r="S12" s="282"/>
      <c r="T12" s="283"/>
    </row>
    <row r="13" spans="1:20" ht="25.5" customHeight="1" x14ac:dyDescent="0.6">
      <c r="A13" s="266"/>
      <c r="B13" s="267" t="s">
        <v>229</v>
      </c>
      <c r="C13" s="268"/>
      <c r="D13" s="268"/>
      <c r="E13" s="269"/>
      <c r="F13" s="269"/>
      <c r="G13" s="270"/>
      <c r="L13" s="281"/>
      <c r="M13" s="282"/>
      <c r="N13" s="282"/>
      <c r="O13" s="282"/>
      <c r="P13" s="282"/>
      <c r="Q13" s="282"/>
      <c r="R13" s="282"/>
      <c r="S13" s="282"/>
      <c r="T13" s="283"/>
    </row>
    <row r="14" spans="1:20" ht="25.5" customHeight="1" x14ac:dyDescent="0.4">
      <c r="A14" s="257"/>
      <c r="B14" s="251"/>
      <c r="C14" s="657" t="s">
        <v>223</v>
      </c>
      <c r="D14" s="657" t="s">
        <v>224</v>
      </c>
      <c r="E14" s="657" t="s">
        <v>218</v>
      </c>
      <c r="F14" s="657" t="s">
        <v>222</v>
      </c>
      <c r="G14" s="271"/>
      <c r="L14" s="281"/>
      <c r="M14" s="282"/>
      <c r="N14" s="282"/>
      <c r="O14" s="282"/>
      <c r="P14" s="282"/>
      <c r="Q14" s="282"/>
      <c r="R14" s="282"/>
      <c r="S14" s="282"/>
      <c r="T14" s="283"/>
    </row>
    <row r="15" spans="1:20" ht="25.5" customHeight="1" x14ac:dyDescent="0.4">
      <c r="A15" s="257"/>
      <c r="B15" s="251"/>
      <c r="C15" s="658"/>
      <c r="D15" s="658"/>
      <c r="E15" s="658"/>
      <c r="F15" s="658"/>
      <c r="G15" s="272"/>
      <c r="L15" s="281"/>
      <c r="M15" s="282"/>
      <c r="N15" s="282"/>
      <c r="O15" s="282"/>
      <c r="P15" s="282"/>
      <c r="Q15" s="282"/>
      <c r="R15" s="282"/>
      <c r="S15" s="282"/>
      <c r="T15" s="283"/>
    </row>
    <row r="16" spans="1:20" ht="25.5" customHeight="1" x14ac:dyDescent="0.4">
      <c r="A16" s="257"/>
      <c r="B16" s="251"/>
      <c r="C16" s="659"/>
      <c r="D16" s="659"/>
      <c r="E16" s="659"/>
      <c r="F16" s="659"/>
      <c r="G16" s="273"/>
      <c r="L16" s="281"/>
      <c r="M16" s="282"/>
      <c r="N16" s="282"/>
      <c r="O16" s="282"/>
      <c r="P16" s="282"/>
      <c r="Q16" s="282"/>
      <c r="R16" s="282"/>
      <c r="S16" s="282"/>
      <c r="T16" s="283"/>
    </row>
    <row r="17" spans="1:20" ht="25.5" customHeight="1" thickBot="1" x14ac:dyDescent="0.45">
      <c r="A17" s="257"/>
      <c r="B17" s="232" t="s">
        <v>71</v>
      </c>
      <c r="C17" s="333"/>
      <c r="D17" s="332"/>
      <c r="E17" s="252">
        <f>IF(ISBLANK(D17),0,((D17-C17)/C17))</f>
        <v>0</v>
      </c>
      <c r="F17" s="295" t="str">
        <f>TEXT((D17/'Staffing Wages'!$X$3)*('Business Running Costs'!$G$3-'Business Running Costs'!$E$3),"£#,##0.00")</f>
        <v>£0.00</v>
      </c>
      <c r="G17" s="273"/>
      <c r="L17" s="281"/>
      <c r="M17" s="282"/>
      <c r="N17" s="282"/>
      <c r="O17" s="282"/>
      <c r="P17" s="282"/>
      <c r="Q17" s="282"/>
      <c r="R17" s="282"/>
      <c r="S17" s="282"/>
      <c r="T17" s="283"/>
    </row>
    <row r="18" spans="1:20" ht="25.5" customHeight="1" thickTop="1" thickBot="1" x14ac:dyDescent="0.45">
      <c r="A18" s="263"/>
      <c r="B18" s="264"/>
      <c r="C18" s="264"/>
      <c r="D18" s="264"/>
      <c r="E18" s="264"/>
      <c r="F18" s="264"/>
      <c r="G18" s="274"/>
      <c r="L18" s="281"/>
      <c r="M18" s="282"/>
      <c r="N18" s="282"/>
      <c r="O18" s="282"/>
      <c r="P18" s="282"/>
      <c r="Q18" s="282"/>
      <c r="R18" s="282"/>
      <c r="S18" s="282"/>
      <c r="T18" s="283"/>
    </row>
    <row r="19" spans="1:20" ht="25.5" customHeight="1" thickBot="1" x14ac:dyDescent="0.45">
      <c r="L19" s="281"/>
      <c r="M19" s="282"/>
      <c r="N19" s="282"/>
      <c r="O19" s="282"/>
      <c r="P19" s="282"/>
      <c r="Q19" s="282"/>
      <c r="R19" s="282"/>
      <c r="S19" s="282"/>
      <c r="T19" s="283"/>
    </row>
    <row r="20" spans="1:20" ht="41.05" customHeight="1" x14ac:dyDescent="0.4">
      <c r="A20" s="254"/>
      <c r="B20" s="686" t="s">
        <v>250</v>
      </c>
      <c r="C20" s="686"/>
      <c r="D20" s="686"/>
      <c r="E20" s="686"/>
      <c r="F20" s="686"/>
      <c r="G20" s="686"/>
      <c r="H20" s="276"/>
      <c r="L20" s="281"/>
      <c r="M20" s="282"/>
      <c r="N20" s="282"/>
      <c r="O20" s="282"/>
      <c r="P20" s="282"/>
      <c r="Q20" s="282"/>
      <c r="R20" s="282"/>
      <c r="S20" s="282"/>
      <c r="T20" s="283"/>
    </row>
    <row r="21" spans="1:20" ht="44.15" thickBot="1" x14ac:dyDescent="0.45">
      <c r="A21" s="257"/>
      <c r="B21" s="671" t="s">
        <v>35</v>
      </c>
      <c r="C21" s="671"/>
      <c r="D21" s="671"/>
      <c r="E21" s="232" t="s">
        <v>219</v>
      </c>
      <c r="F21" s="232" t="s">
        <v>220</v>
      </c>
      <c r="G21" s="233" t="s">
        <v>242</v>
      </c>
      <c r="H21" s="273"/>
      <c r="L21" s="281"/>
      <c r="M21" s="282"/>
      <c r="N21" s="282"/>
      <c r="O21" s="282"/>
      <c r="P21" s="282"/>
      <c r="Q21" s="282"/>
      <c r="R21" s="282"/>
      <c r="S21" s="282"/>
      <c r="T21" s="283"/>
    </row>
    <row r="22" spans="1:20" ht="25.5" customHeight="1" thickTop="1" thickBot="1" x14ac:dyDescent="0.45">
      <c r="A22" s="257"/>
      <c r="B22" s="672" t="str">
        <f>'Staffing Wages'!A19</f>
        <v>Care assistants without QCF</v>
      </c>
      <c r="C22" s="673"/>
      <c r="D22" s="674"/>
      <c r="E22" s="235"/>
      <c r="F22" s="234"/>
      <c r="G22" s="289">
        <f t="shared" ref="G22:G45" si="0">ROUND(((E22*5)+(F22*2))/7,2)</f>
        <v>0</v>
      </c>
      <c r="H22" s="273"/>
      <c r="L22" s="281"/>
      <c r="M22" s="282"/>
      <c r="N22" s="282"/>
      <c r="O22" s="282"/>
      <c r="P22" s="282"/>
      <c r="Q22" s="282"/>
      <c r="R22" s="282"/>
      <c r="S22" s="282"/>
      <c r="T22" s="283"/>
    </row>
    <row r="23" spans="1:20" ht="25.5" customHeight="1" thickTop="1" thickBot="1" x14ac:dyDescent="0.45">
      <c r="A23" s="257"/>
      <c r="B23" s="672" t="str">
        <f>'Staffing Wages'!A20</f>
        <v>Level 2 and above care assistants</v>
      </c>
      <c r="C23" s="673"/>
      <c r="D23" s="674"/>
      <c r="E23" s="277"/>
      <c r="F23" s="262"/>
      <c r="G23" s="289">
        <f t="shared" si="0"/>
        <v>0</v>
      </c>
      <c r="H23" s="273"/>
      <c r="L23" s="281"/>
      <c r="M23" s="282"/>
      <c r="N23" s="282"/>
      <c r="O23" s="282"/>
      <c r="P23" s="282"/>
      <c r="Q23" s="282"/>
      <c r="R23" s="282"/>
      <c r="S23" s="282"/>
      <c r="T23" s="283"/>
    </row>
    <row r="24" spans="1:20" ht="25.5" customHeight="1" thickTop="1" thickBot="1" x14ac:dyDescent="0.45">
      <c r="A24" s="257"/>
      <c r="B24" s="672">
        <f>'Staffing Wages'!A21</f>
        <v>0</v>
      </c>
      <c r="C24" s="673"/>
      <c r="D24" s="674"/>
      <c r="E24" s="277"/>
      <c r="F24" s="262"/>
      <c r="G24" s="289">
        <f t="shared" si="0"/>
        <v>0</v>
      </c>
      <c r="H24" s="273"/>
      <c r="L24" s="281"/>
      <c r="M24" s="282"/>
      <c r="N24" s="282"/>
      <c r="O24" s="282"/>
      <c r="P24" s="282"/>
      <c r="Q24" s="282"/>
      <c r="R24" s="282"/>
      <c r="S24" s="282"/>
      <c r="T24" s="283"/>
    </row>
    <row r="25" spans="1:20" ht="25.5" customHeight="1" thickTop="1" thickBot="1" x14ac:dyDescent="0.45">
      <c r="A25" s="257"/>
      <c r="B25" s="672" t="str">
        <f>'Staffing Wages'!A22</f>
        <v>Domestics</v>
      </c>
      <c r="C25" s="673"/>
      <c r="D25" s="674"/>
      <c r="E25" s="277"/>
      <c r="F25" s="262"/>
      <c r="G25" s="289">
        <f t="shared" si="0"/>
        <v>0</v>
      </c>
      <c r="H25" s="273"/>
      <c r="L25" s="281"/>
      <c r="M25" s="282"/>
      <c r="N25" s="282"/>
      <c r="O25" s="282"/>
      <c r="P25" s="282"/>
      <c r="Q25" s="282"/>
      <c r="R25" s="282"/>
      <c r="S25" s="282"/>
      <c r="T25" s="283"/>
    </row>
    <row r="26" spans="1:20" ht="25.5" customHeight="1" thickTop="1" thickBot="1" x14ac:dyDescent="0.45">
      <c r="A26" s="257"/>
      <c r="B26" s="672" t="str">
        <f>'Staffing Wages'!A23</f>
        <v xml:space="preserve">Laundry </v>
      </c>
      <c r="C26" s="673"/>
      <c r="D26" s="674"/>
      <c r="E26" s="277"/>
      <c r="F26" s="262"/>
      <c r="G26" s="289">
        <f t="shared" si="0"/>
        <v>0</v>
      </c>
      <c r="H26" s="273"/>
      <c r="L26" s="281"/>
      <c r="M26" s="282"/>
      <c r="N26" s="282"/>
      <c r="O26" s="282"/>
      <c r="P26" s="282"/>
      <c r="Q26" s="282"/>
      <c r="R26" s="282"/>
      <c r="S26" s="282"/>
      <c r="T26" s="283"/>
    </row>
    <row r="27" spans="1:20" ht="25.5" customHeight="1" thickTop="1" thickBot="1" x14ac:dyDescent="0.45">
      <c r="A27" s="257"/>
      <c r="B27" s="672" t="str">
        <f>'Staffing Wages'!A24</f>
        <v>Handyman/Gardener</v>
      </c>
      <c r="C27" s="673"/>
      <c r="D27" s="674"/>
      <c r="E27" s="277"/>
      <c r="F27" s="262"/>
      <c r="G27" s="289">
        <f t="shared" si="0"/>
        <v>0</v>
      </c>
      <c r="H27" s="273"/>
      <c r="L27" s="281"/>
      <c r="M27" s="282"/>
      <c r="N27" s="282"/>
      <c r="O27" s="282"/>
      <c r="P27" s="282"/>
      <c r="Q27" s="282"/>
      <c r="R27" s="282"/>
      <c r="S27" s="282"/>
      <c r="T27" s="283"/>
    </row>
    <row r="28" spans="1:20" ht="25.5" customHeight="1" thickTop="1" thickBot="1" x14ac:dyDescent="0.45">
      <c r="A28" s="257"/>
      <c r="B28" s="672" t="str">
        <f>'Staffing Wages'!A25</f>
        <v>Kitchen assistants</v>
      </c>
      <c r="C28" s="673"/>
      <c r="D28" s="674"/>
      <c r="E28" s="277"/>
      <c r="F28" s="262"/>
      <c r="G28" s="289">
        <f t="shared" si="0"/>
        <v>0</v>
      </c>
      <c r="H28" s="273"/>
      <c r="L28" s="281"/>
      <c r="M28" s="282"/>
      <c r="N28" s="282"/>
      <c r="O28" s="282"/>
      <c r="P28" s="282"/>
      <c r="Q28" s="282"/>
      <c r="R28" s="282"/>
      <c r="S28" s="282"/>
      <c r="T28" s="283"/>
    </row>
    <row r="29" spans="1:20" ht="25.5" customHeight="1" thickTop="1" thickBot="1" x14ac:dyDescent="0.45">
      <c r="A29" s="257"/>
      <c r="B29" s="672" t="str">
        <f>'Staffing Wages'!A26</f>
        <v>Chef/ Cook</v>
      </c>
      <c r="C29" s="673"/>
      <c r="D29" s="674"/>
      <c r="E29" s="277"/>
      <c r="F29" s="262"/>
      <c r="G29" s="289">
        <f t="shared" si="0"/>
        <v>0</v>
      </c>
      <c r="H29" s="273"/>
      <c r="L29" s="281"/>
      <c r="M29" s="282"/>
      <c r="N29" s="282"/>
      <c r="O29" s="282"/>
      <c r="P29" s="282"/>
      <c r="Q29" s="282"/>
      <c r="R29" s="282"/>
      <c r="S29" s="282"/>
      <c r="T29" s="283"/>
    </row>
    <row r="30" spans="1:20" ht="25.5" customHeight="1" thickTop="1" thickBot="1" x14ac:dyDescent="0.45">
      <c r="A30" s="257"/>
      <c r="B30" s="672" t="str">
        <f>'Staffing Wages'!A27</f>
        <v>Administration</v>
      </c>
      <c r="C30" s="673"/>
      <c r="D30" s="674"/>
      <c r="E30" s="277"/>
      <c r="F30" s="262"/>
      <c r="G30" s="289">
        <f t="shared" si="0"/>
        <v>0</v>
      </c>
      <c r="H30" s="273"/>
      <c r="L30" s="281"/>
      <c r="M30" s="282"/>
      <c r="N30" s="282"/>
      <c r="O30" s="282"/>
      <c r="P30" s="282"/>
      <c r="Q30" s="282"/>
      <c r="R30" s="282"/>
      <c r="S30" s="282"/>
      <c r="T30" s="283"/>
    </row>
    <row r="31" spans="1:20" ht="25.5" customHeight="1" thickTop="1" thickBot="1" x14ac:dyDescent="0.45">
      <c r="A31" s="257"/>
      <c r="B31" s="672" t="str">
        <f>'Staffing Wages'!A28</f>
        <v>Manager</v>
      </c>
      <c r="C31" s="673"/>
      <c r="D31" s="674"/>
      <c r="E31" s="277"/>
      <c r="F31" s="277"/>
      <c r="G31" s="289">
        <f t="shared" si="0"/>
        <v>0</v>
      </c>
      <c r="H31" s="273"/>
      <c r="L31" s="281"/>
      <c r="M31" s="282"/>
      <c r="N31" s="282"/>
      <c r="O31" s="282"/>
      <c r="P31" s="282"/>
      <c r="Q31" s="282"/>
      <c r="R31" s="282"/>
      <c r="S31" s="282"/>
      <c r="T31" s="283"/>
    </row>
    <row r="32" spans="1:20" ht="25.5" customHeight="1" thickTop="1" thickBot="1" x14ac:dyDescent="0.45">
      <c r="A32" s="257"/>
      <c r="B32" s="672" t="e">
        <f>'Staffing Wages'!#REF!</f>
        <v>#REF!</v>
      </c>
      <c r="C32" s="673"/>
      <c r="D32" s="674"/>
      <c r="E32" s="277"/>
      <c r="F32" s="277"/>
      <c r="G32" s="289">
        <f t="shared" si="0"/>
        <v>0</v>
      </c>
      <c r="H32" s="273"/>
      <c r="L32" s="281"/>
      <c r="M32" s="282"/>
      <c r="N32" s="282"/>
      <c r="O32" s="282"/>
      <c r="P32" s="282"/>
      <c r="Q32" s="282"/>
      <c r="R32" s="282"/>
      <c r="S32" s="282"/>
      <c r="T32" s="283"/>
    </row>
    <row r="33" spans="1:20" ht="25.5" customHeight="1" thickTop="1" thickBot="1" x14ac:dyDescent="0.45">
      <c r="A33" s="257"/>
      <c r="B33" s="672" t="e">
        <f>'Staffing Wages'!#REF!</f>
        <v>#REF!</v>
      </c>
      <c r="C33" s="673"/>
      <c r="D33" s="674"/>
      <c r="E33" s="277"/>
      <c r="F33" s="277"/>
      <c r="G33" s="289">
        <f t="shared" si="0"/>
        <v>0</v>
      </c>
      <c r="H33" s="273"/>
      <c r="L33" s="281"/>
      <c r="M33" s="282"/>
      <c r="N33" s="282"/>
      <c r="O33" s="282"/>
      <c r="P33" s="282"/>
      <c r="Q33" s="282"/>
      <c r="R33" s="282"/>
      <c r="S33" s="282"/>
      <c r="T33" s="283"/>
    </row>
    <row r="34" spans="1:20" ht="25.5" customHeight="1" thickTop="1" thickBot="1" x14ac:dyDescent="0.45">
      <c r="A34" s="257"/>
      <c r="B34" s="672">
        <f>'Staffing Wages'!A31</f>
        <v>0</v>
      </c>
      <c r="C34" s="673"/>
      <c r="D34" s="674"/>
      <c r="E34" s="277"/>
      <c r="F34" s="277"/>
      <c r="G34" s="289">
        <f t="shared" si="0"/>
        <v>0</v>
      </c>
      <c r="H34" s="273"/>
      <c r="L34" s="281"/>
      <c r="M34" s="282"/>
      <c r="N34" s="282"/>
      <c r="O34" s="282"/>
      <c r="P34" s="282"/>
      <c r="Q34" s="282"/>
      <c r="R34" s="282"/>
      <c r="S34" s="282"/>
      <c r="T34" s="283"/>
    </row>
    <row r="35" spans="1:20" ht="25.5" customHeight="1" thickTop="1" thickBot="1" x14ac:dyDescent="0.45">
      <c r="A35" s="257"/>
      <c r="B35" s="672" t="str">
        <f>'Staffing Wages'!A29</f>
        <v>Agency Staff</v>
      </c>
      <c r="C35" s="673"/>
      <c r="D35" s="674"/>
      <c r="E35" s="277"/>
      <c r="F35" s="277"/>
      <c r="G35" s="289">
        <f t="shared" si="0"/>
        <v>0</v>
      </c>
      <c r="H35" s="273"/>
      <c r="L35" s="281"/>
      <c r="M35" s="282"/>
      <c r="N35" s="282"/>
      <c r="O35" s="282"/>
      <c r="P35" s="282"/>
      <c r="Q35" s="282"/>
      <c r="R35" s="282"/>
      <c r="S35" s="282"/>
      <c r="T35" s="283"/>
    </row>
    <row r="36" spans="1:20" ht="25.5" customHeight="1" thickTop="1" thickBot="1" x14ac:dyDescent="0.45">
      <c r="A36" s="257"/>
      <c r="B36" s="672" t="str">
        <f>'Staffing Wages'!A30</f>
        <v>Staff on training courses/Supernumerate</v>
      </c>
      <c r="C36" s="673"/>
      <c r="D36" s="674"/>
      <c r="E36" s="277"/>
      <c r="F36" s="277"/>
      <c r="G36" s="289">
        <f t="shared" si="0"/>
        <v>0</v>
      </c>
      <c r="H36" s="273"/>
      <c r="L36" s="281"/>
      <c r="M36" s="282"/>
      <c r="N36" s="282"/>
      <c r="O36" s="282"/>
      <c r="P36" s="282"/>
      <c r="Q36" s="282"/>
      <c r="R36" s="282"/>
      <c r="S36" s="282"/>
      <c r="T36" s="283"/>
    </row>
    <row r="37" spans="1:20" ht="25.5" customHeight="1" thickTop="1" thickBot="1" x14ac:dyDescent="0.45">
      <c r="A37" s="257"/>
      <c r="B37" s="672" t="e">
        <f>'Staffing Wages'!#REF!</f>
        <v>#REF!</v>
      </c>
      <c r="C37" s="673"/>
      <c r="D37" s="674"/>
      <c r="E37" s="277"/>
      <c r="F37" s="277"/>
      <c r="G37" s="289">
        <f t="shared" si="0"/>
        <v>0</v>
      </c>
      <c r="H37" s="273"/>
      <c r="L37" s="281"/>
      <c r="M37" s="282"/>
      <c r="N37" s="282"/>
      <c r="O37" s="282"/>
      <c r="P37" s="282"/>
      <c r="Q37" s="282"/>
      <c r="R37" s="282"/>
      <c r="S37" s="282"/>
      <c r="T37" s="283"/>
    </row>
    <row r="38" spans="1:20" ht="25.5" customHeight="1" thickTop="1" thickBot="1" x14ac:dyDescent="0.45">
      <c r="A38" s="257"/>
      <c r="B38" s="672" t="e">
        <f>'Staffing Wages'!#REF!</f>
        <v>#REF!</v>
      </c>
      <c r="C38" s="673"/>
      <c r="D38" s="674"/>
      <c r="E38" s="277"/>
      <c r="F38" s="277"/>
      <c r="G38" s="289">
        <f t="shared" si="0"/>
        <v>0</v>
      </c>
      <c r="H38" s="273"/>
      <c r="L38" s="281"/>
      <c r="M38" s="282"/>
      <c r="N38" s="282"/>
      <c r="O38" s="282"/>
      <c r="P38" s="282"/>
      <c r="Q38" s="282"/>
      <c r="R38" s="282"/>
      <c r="S38" s="282"/>
      <c r="T38" s="283"/>
    </row>
    <row r="39" spans="1:20" ht="25.5" customHeight="1" thickTop="1" thickBot="1" x14ac:dyDescent="0.45">
      <c r="A39" s="257"/>
      <c r="B39" s="672" t="e">
        <f>'Staffing Wages'!#REF!</f>
        <v>#REF!</v>
      </c>
      <c r="C39" s="673"/>
      <c r="D39" s="674"/>
      <c r="E39" s="277"/>
      <c r="F39" s="277"/>
      <c r="G39" s="289">
        <f t="shared" si="0"/>
        <v>0</v>
      </c>
      <c r="H39" s="273"/>
      <c r="L39" s="281"/>
      <c r="M39" s="282"/>
      <c r="N39" s="282"/>
      <c r="O39" s="282"/>
      <c r="P39" s="282"/>
      <c r="Q39" s="282"/>
      <c r="R39" s="282"/>
      <c r="S39" s="282"/>
      <c r="T39" s="283"/>
    </row>
    <row r="40" spans="1:20" ht="25.5" customHeight="1" thickTop="1" thickBot="1" x14ac:dyDescent="0.45">
      <c r="A40" s="257"/>
      <c r="B40" s="672" t="e">
        <f>'Staffing Wages'!#REF!</f>
        <v>#REF!</v>
      </c>
      <c r="C40" s="673"/>
      <c r="D40" s="674"/>
      <c r="E40" s="277"/>
      <c r="F40" s="277"/>
      <c r="G40" s="289">
        <f t="shared" si="0"/>
        <v>0</v>
      </c>
      <c r="H40" s="273"/>
      <c r="L40" s="281"/>
      <c r="M40" s="282"/>
      <c r="N40" s="282"/>
      <c r="O40" s="282"/>
      <c r="P40" s="282"/>
      <c r="Q40" s="282"/>
      <c r="R40" s="282"/>
      <c r="S40" s="282"/>
      <c r="T40" s="283"/>
    </row>
    <row r="41" spans="1:20" ht="25.5" customHeight="1" thickTop="1" thickBot="1" x14ac:dyDescent="0.45">
      <c r="A41" s="257"/>
      <c r="B41" s="672" t="e">
        <f>'Staffing Wages'!#REF!</f>
        <v>#REF!</v>
      </c>
      <c r="C41" s="673"/>
      <c r="D41" s="674"/>
      <c r="E41" s="277"/>
      <c r="F41" s="277"/>
      <c r="G41" s="289">
        <f t="shared" si="0"/>
        <v>0</v>
      </c>
      <c r="H41" s="273"/>
      <c r="L41" s="281"/>
      <c r="M41" s="282"/>
      <c r="N41" s="282"/>
      <c r="O41" s="282"/>
      <c r="P41" s="282"/>
      <c r="Q41" s="282"/>
      <c r="R41" s="282"/>
      <c r="S41" s="282"/>
      <c r="T41" s="283"/>
    </row>
    <row r="42" spans="1:20" ht="25.5" customHeight="1" thickTop="1" thickBot="1" x14ac:dyDescent="0.45">
      <c r="A42" s="257"/>
      <c r="B42" s="672" t="e">
        <f>'Staffing Wages'!#REF!</f>
        <v>#REF!</v>
      </c>
      <c r="C42" s="673"/>
      <c r="D42" s="674"/>
      <c r="E42" s="277"/>
      <c r="F42" s="277"/>
      <c r="G42" s="289">
        <f t="shared" si="0"/>
        <v>0</v>
      </c>
      <c r="H42" s="273"/>
      <c r="L42" s="281"/>
      <c r="M42" s="282"/>
      <c r="N42" s="282"/>
      <c r="O42" s="282"/>
      <c r="P42" s="282"/>
      <c r="Q42" s="282"/>
      <c r="R42" s="282"/>
      <c r="S42" s="282"/>
      <c r="T42" s="283"/>
    </row>
    <row r="43" spans="1:20" ht="25.5" customHeight="1" thickTop="1" thickBot="1" x14ac:dyDescent="0.45">
      <c r="A43" s="257"/>
      <c r="B43" s="672" t="e">
        <f>'Staffing Wages'!#REF!</f>
        <v>#REF!</v>
      </c>
      <c r="C43" s="673"/>
      <c r="D43" s="674"/>
      <c r="E43" s="277"/>
      <c r="F43" s="277"/>
      <c r="G43" s="289">
        <f t="shared" si="0"/>
        <v>0</v>
      </c>
      <c r="H43" s="273"/>
      <c r="L43" s="281"/>
      <c r="M43" s="282"/>
      <c r="N43" s="282"/>
      <c r="O43" s="282"/>
      <c r="P43" s="282"/>
      <c r="Q43" s="282"/>
      <c r="R43" s="282"/>
      <c r="S43" s="282"/>
      <c r="T43" s="283"/>
    </row>
    <row r="44" spans="1:20" ht="25.5" customHeight="1" thickTop="1" thickBot="1" x14ac:dyDescent="0.45">
      <c r="A44" s="257"/>
      <c r="B44" s="672" t="e">
        <f>'Staffing Wages'!#REF!</f>
        <v>#REF!</v>
      </c>
      <c r="C44" s="673"/>
      <c r="D44" s="674"/>
      <c r="E44" s="277"/>
      <c r="F44" s="277"/>
      <c r="G44" s="289">
        <f t="shared" si="0"/>
        <v>0</v>
      </c>
      <c r="H44" s="273"/>
      <c r="L44" s="281"/>
      <c r="M44" s="282"/>
      <c r="N44" s="282"/>
      <c r="O44" s="282"/>
      <c r="P44" s="282"/>
      <c r="Q44" s="282"/>
      <c r="R44" s="282"/>
      <c r="S44" s="282"/>
      <c r="T44" s="283"/>
    </row>
    <row r="45" spans="1:20" ht="25.5" customHeight="1" thickTop="1" thickBot="1" x14ac:dyDescent="0.45">
      <c r="A45" s="257"/>
      <c r="B45" s="672" t="e">
        <f>'Staffing Wages'!#REF!</f>
        <v>#REF!</v>
      </c>
      <c r="C45" s="673"/>
      <c r="D45" s="674"/>
      <c r="E45" s="277"/>
      <c r="F45" s="277"/>
      <c r="G45" s="289">
        <f t="shared" si="0"/>
        <v>0</v>
      </c>
      <c r="H45" s="273"/>
      <c r="L45" s="281"/>
      <c r="M45" s="282"/>
      <c r="N45" s="282"/>
      <c r="O45" s="282"/>
      <c r="P45" s="282"/>
      <c r="Q45" s="282"/>
      <c r="R45" s="282"/>
      <c r="S45" s="282"/>
      <c r="T45" s="283"/>
    </row>
    <row r="46" spans="1:20" ht="25.5" customHeight="1" thickTop="1" thickBot="1" x14ac:dyDescent="0.45">
      <c r="A46" s="257"/>
      <c r="B46" s="672" t="e">
        <f>'Staffing Wages'!#REF!</f>
        <v>#REF!</v>
      </c>
      <c r="C46" s="673"/>
      <c r="D46" s="674"/>
      <c r="E46" s="277"/>
      <c r="F46" s="277"/>
      <c r="G46" s="289">
        <f>ROUND(((E46*5)+(F46*2))/7,2)</f>
        <v>0</v>
      </c>
      <c r="H46" s="273"/>
      <c r="L46" s="281"/>
      <c r="M46" s="282"/>
      <c r="N46" s="282"/>
      <c r="O46" s="282"/>
      <c r="P46" s="282"/>
      <c r="Q46" s="282"/>
      <c r="R46" s="282"/>
      <c r="S46" s="282"/>
      <c r="T46" s="283"/>
    </row>
    <row r="47" spans="1:20" ht="25.5" customHeight="1" thickTop="1" x14ac:dyDescent="0.4">
      <c r="A47" s="257"/>
      <c r="B47" s="278"/>
      <c r="C47" s="278"/>
      <c r="D47" s="278"/>
      <c r="E47" s="251"/>
      <c r="F47" s="251"/>
      <c r="G47" s="280"/>
      <c r="H47" s="273"/>
      <c r="L47" s="281"/>
      <c r="M47" s="282"/>
      <c r="N47" s="282"/>
      <c r="O47" s="282"/>
      <c r="P47" s="282"/>
      <c r="Q47" s="282"/>
      <c r="R47" s="282"/>
      <c r="S47" s="282"/>
      <c r="T47" s="283"/>
    </row>
    <row r="48" spans="1:20" ht="25.5" customHeight="1" thickBot="1" x14ac:dyDescent="0.45">
      <c r="A48" s="263"/>
      <c r="B48" s="279"/>
      <c r="C48" s="279"/>
      <c r="D48" s="279"/>
      <c r="E48" s="264"/>
      <c r="F48" s="264"/>
      <c r="G48" s="264"/>
      <c r="H48" s="274"/>
      <c r="L48" s="281"/>
      <c r="M48" s="282"/>
      <c r="N48" s="282"/>
      <c r="O48" s="282"/>
      <c r="P48" s="282"/>
      <c r="Q48" s="282"/>
      <c r="R48" s="282"/>
      <c r="S48" s="282"/>
      <c r="T48" s="283"/>
    </row>
    <row r="49" spans="1:20" ht="25.5" customHeight="1" thickBot="1" x14ac:dyDescent="0.45">
      <c r="L49" s="281"/>
      <c r="M49" s="282"/>
      <c r="N49" s="282"/>
      <c r="O49" s="282"/>
      <c r="P49" s="282"/>
      <c r="Q49" s="282"/>
      <c r="R49" s="282"/>
      <c r="S49" s="282"/>
      <c r="T49" s="283"/>
    </row>
    <row r="50" spans="1:20" ht="48.55" customHeight="1" x14ac:dyDescent="0.4">
      <c r="A50" s="254"/>
      <c r="B50" s="685" t="s">
        <v>251</v>
      </c>
      <c r="C50" s="685"/>
      <c r="D50" s="685"/>
      <c r="E50" s="685"/>
      <c r="F50" s="685"/>
      <c r="G50" s="685"/>
      <c r="H50" s="685"/>
      <c r="I50" s="255"/>
      <c r="J50" s="256"/>
      <c r="L50" s="281"/>
      <c r="M50" s="282"/>
      <c r="N50" s="282"/>
      <c r="O50" s="282"/>
      <c r="P50" s="282"/>
      <c r="Q50" s="282"/>
      <c r="R50" s="282"/>
      <c r="S50" s="282"/>
      <c r="T50" s="283"/>
    </row>
    <row r="51" spans="1:20" ht="30" customHeight="1" x14ac:dyDescent="0.4">
      <c r="A51" s="257"/>
      <c r="B51" s="247"/>
      <c r="C51" s="247"/>
      <c r="D51" s="292" t="s">
        <v>235</v>
      </c>
      <c r="E51" s="292" t="s">
        <v>236</v>
      </c>
      <c r="F51" s="292" t="s">
        <v>237</v>
      </c>
      <c r="G51" s="292" t="s">
        <v>238</v>
      </c>
      <c r="H51" s="292" t="s">
        <v>241</v>
      </c>
      <c r="I51" s="251"/>
      <c r="J51" s="258"/>
      <c r="L51" s="281"/>
      <c r="M51" s="282"/>
      <c r="N51" s="282"/>
      <c r="O51" s="282"/>
      <c r="P51" s="282"/>
      <c r="Q51" s="282"/>
      <c r="R51" s="282"/>
      <c r="S51" s="282"/>
      <c r="T51" s="283"/>
    </row>
    <row r="52" spans="1:20" ht="58.3" x14ac:dyDescent="0.4">
      <c r="A52" s="257"/>
      <c r="B52" s="291" t="s">
        <v>35</v>
      </c>
      <c r="C52" s="287" t="s">
        <v>240</v>
      </c>
      <c r="D52" s="293"/>
      <c r="E52" s="293"/>
      <c r="F52" s="293"/>
      <c r="G52" s="293"/>
      <c r="H52" s="293"/>
      <c r="I52" s="233" t="s">
        <v>239</v>
      </c>
      <c r="J52" s="258"/>
      <c r="L52" s="281"/>
      <c r="M52" s="282"/>
      <c r="N52" s="282"/>
      <c r="O52" s="282"/>
      <c r="P52" s="282"/>
      <c r="Q52" s="282"/>
      <c r="R52" s="282"/>
      <c r="S52" s="282"/>
      <c r="T52" s="283"/>
    </row>
    <row r="53" spans="1:20" ht="25.5" customHeight="1" thickBot="1" x14ac:dyDescent="0.45">
      <c r="A53" s="257"/>
      <c r="B53" s="675" t="str">
        <f>'Staffing Wages'!A19</f>
        <v>Care assistants without QCF</v>
      </c>
      <c r="C53" s="676"/>
      <c r="D53" s="235"/>
      <c r="E53" s="235"/>
      <c r="F53" s="235"/>
      <c r="G53" s="235"/>
      <c r="H53" s="235"/>
      <c r="I53" s="288">
        <f>IFERROR(SUM((D53*$D$52)+(E53*$E$52)+(F53*$F$52)+(G53*$G$52)+(H53*$H$52))/SUM($D$52:$H$52),0)</f>
        <v>0</v>
      </c>
      <c r="J53" s="258"/>
      <c r="L53" s="281"/>
      <c r="M53" s="290"/>
      <c r="N53" s="282"/>
      <c r="O53" s="282"/>
      <c r="P53" s="282"/>
      <c r="Q53" s="282"/>
      <c r="R53" s="282"/>
      <c r="S53" s="282"/>
      <c r="T53" s="283"/>
    </row>
    <row r="54" spans="1:20" ht="25.5" customHeight="1" thickTop="1" thickBot="1" x14ac:dyDescent="0.45">
      <c r="A54" s="257"/>
      <c r="B54" s="675" t="str">
        <f>'Staffing Wages'!A20</f>
        <v>Level 2 and above care assistants</v>
      </c>
      <c r="C54" s="676"/>
      <c r="D54" s="277"/>
      <c r="E54" s="277"/>
      <c r="F54" s="277"/>
      <c r="G54" s="277"/>
      <c r="H54" s="277"/>
      <c r="I54" s="288">
        <f t="shared" ref="I54:I77" si="1">IFERROR(SUM((D54*$D$52)+(E54*$E$52)+(F54*$F$52)+(G54*$G$52)+(H54*$H$52))/SUM($D$52:$H$52),0)</f>
        <v>0</v>
      </c>
      <c r="J54" s="258"/>
      <c r="L54" s="281"/>
      <c r="M54" s="282"/>
      <c r="N54" s="282"/>
      <c r="O54" s="282"/>
      <c r="P54" s="282"/>
      <c r="Q54" s="282"/>
      <c r="R54" s="282"/>
      <c r="S54" s="282"/>
      <c r="T54" s="283"/>
    </row>
    <row r="55" spans="1:20" ht="25.5" customHeight="1" thickTop="1" thickBot="1" x14ac:dyDescent="0.45">
      <c r="A55" s="257"/>
      <c r="B55" s="675">
        <f>'Staffing Wages'!A21</f>
        <v>0</v>
      </c>
      <c r="C55" s="676"/>
      <c r="D55" s="277"/>
      <c r="E55" s="277"/>
      <c r="F55" s="277"/>
      <c r="G55" s="277"/>
      <c r="H55" s="277"/>
      <c r="I55" s="288">
        <f t="shared" si="1"/>
        <v>0</v>
      </c>
      <c r="J55" s="258"/>
      <c r="L55" s="281"/>
      <c r="M55" s="282"/>
      <c r="N55" s="282"/>
      <c r="O55" s="282"/>
      <c r="P55" s="282"/>
      <c r="Q55" s="282"/>
      <c r="R55" s="282"/>
      <c r="S55" s="282"/>
      <c r="T55" s="283"/>
    </row>
    <row r="56" spans="1:20" ht="25.5" customHeight="1" thickTop="1" thickBot="1" x14ac:dyDescent="0.45">
      <c r="A56" s="257"/>
      <c r="B56" s="675" t="str">
        <f>'Staffing Wages'!A22</f>
        <v>Domestics</v>
      </c>
      <c r="C56" s="676"/>
      <c r="D56" s="277"/>
      <c r="E56" s="277"/>
      <c r="F56" s="277"/>
      <c r="G56" s="277"/>
      <c r="H56" s="277"/>
      <c r="I56" s="288">
        <f t="shared" si="1"/>
        <v>0</v>
      </c>
      <c r="J56" s="258"/>
      <c r="L56" s="281"/>
      <c r="M56" s="282"/>
      <c r="N56" s="282"/>
      <c r="O56" s="282"/>
      <c r="P56" s="282"/>
      <c r="Q56" s="282"/>
      <c r="R56" s="282"/>
      <c r="S56" s="282"/>
      <c r="T56" s="283"/>
    </row>
    <row r="57" spans="1:20" ht="25.5" customHeight="1" thickTop="1" thickBot="1" x14ac:dyDescent="0.45">
      <c r="A57" s="257"/>
      <c r="B57" s="675" t="str">
        <f>'Staffing Wages'!A23</f>
        <v xml:space="preserve">Laundry </v>
      </c>
      <c r="C57" s="676"/>
      <c r="D57" s="277"/>
      <c r="E57" s="277"/>
      <c r="F57" s="277"/>
      <c r="G57" s="277"/>
      <c r="H57" s="277"/>
      <c r="I57" s="288">
        <f t="shared" si="1"/>
        <v>0</v>
      </c>
      <c r="J57" s="258"/>
      <c r="L57" s="281"/>
      <c r="M57" s="282"/>
      <c r="N57" s="282"/>
      <c r="O57" s="282"/>
      <c r="P57" s="282"/>
      <c r="Q57" s="282"/>
      <c r="R57" s="282"/>
      <c r="S57" s="282"/>
      <c r="T57" s="283"/>
    </row>
    <row r="58" spans="1:20" ht="25.5" customHeight="1" thickTop="1" thickBot="1" x14ac:dyDescent="0.45">
      <c r="A58" s="257"/>
      <c r="B58" s="675" t="str">
        <f>'Staffing Wages'!A24</f>
        <v>Handyman/Gardener</v>
      </c>
      <c r="C58" s="676"/>
      <c r="D58" s="277"/>
      <c r="E58" s="277"/>
      <c r="F58" s="277"/>
      <c r="G58" s="277"/>
      <c r="H58" s="277"/>
      <c r="I58" s="288">
        <f t="shared" si="1"/>
        <v>0</v>
      </c>
      <c r="J58" s="258"/>
      <c r="L58" s="281"/>
      <c r="M58" s="282"/>
      <c r="N58" s="282"/>
      <c r="O58" s="282"/>
      <c r="P58" s="282"/>
      <c r="Q58" s="282"/>
      <c r="R58" s="282"/>
      <c r="S58" s="282"/>
      <c r="T58" s="283"/>
    </row>
    <row r="59" spans="1:20" ht="25.5" customHeight="1" thickTop="1" thickBot="1" x14ac:dyDescent="0.45">
      <c r="A59" s="257"/>
      <c r="B59" s="675" t="str">
        <f>'Staffing Wages'!A25</f>
        <v>Kitchen assistants</v>
      </c>
      <c r="C59" s="676"/>
      <c r="D59" s="277"/>
      <c r="E59" s="277"/>
      <c r="F59" s="277"/>
      <c r="G59" s="277"/>
      <c r="H59" s="277"/>
      <c r="I59" s="288">
        <f t="shared" si="1"/>
        <v>0</v>
      </c>
      <c r="J59" s="258"/>
      <c r="L59" s="281"/>
      <c r="M59" s="282"/>
      <c r="N59" s="282"/>
      <c r="O59" s="282"/>
      <c r="P59" s="282"/>
      <c r="Q59" s="282"/>
      <c r="R59" s="282"/>
      <c r="S59" s="282"/>
      <c r="T59" s="283"/>
    </row>
    <row r="60" spans="1:20" ht="25.5" customHeight="1" thickTop="1" thickBot="1" x14ac:dyDescent="0.45">
      <c r="A60" s="257"/>
      <c r="B60" s="675" t="str">
        <f>'Staffing Wages'!A26</f>
        <v>Chef/ Cook</v>
      </c>
      <c r="C60" s="676"/>
      <c r="D60" s="277"/>
      <c r="E60" s="277"/>
      <c r="F60" s="277"/>
      <c r="G60" s="277"/>
      <c r="H60" s="277"/>
      <c r="I60" s="288">
        <f t="shared" si="1"/>
        <v>0</v>
      </c>
      <c r="J60" s="258"/>
      <c r="L60" s="281"/>
      <c r="M60" s="282"/>
      <c r="N60" s="282"/>
      <c r="O60" s="282"/>
      <c r="P60" s="282"/>
      <c r="Q60" s="282"/>
      <c r="R60" s="282"/>
      <c r="S60" s="282"/>
      <c r="T60" s="283"/>
    </row>
    <row r="61" spans="1:20" ht="25.5" customHeight="1" thickTop="1" thickBot="1" x14ac:dyDescent="0.45">
      <c r="A61" s="257"/>
      <c r="B61" s="675" t="str">
        <f>'Staffing Wages'!A27</f>
        <v>Administration</v>
      </c>
      <c r="C61" s="676"/>
      <c r="D61" s="277"/>
      <c r="E61" s="277"/>
      <c r="F61" s="277"/>
      <c r="G61" s="277"/>
      <c r="H61" s="277"/>
      <c r="I61" s="288">
        <f t="shared" si="1"/>
        <v>0</v>
      </c>
      <c r="J61" s="258"/>
      <c r="L61" s="281"/>
      <c r="M61" s="282"/>
      <c r="N61" s="282"/>
      <c r="O61" s="282"/>
      <c r="P61" s="282"/>
      <c r="Q61" s="282"/>
      <c r="R61" s="282"/>
      <c r="S61" s="282"/>
      <c r="T61" s="283"/>
    </row>
    <row r="62" spans="1:20" ht="25.5" customHeight="1" thickTop="1" thickBot="1" x14ac:dyDescent="0.45">
      <c r="A62" s="257"/>
      <c r="B62" s="675" t="str">
        <f>'Staffing Wages'!A28</f>
        <v>Manager</v>
      </c>
      <c r="C62" s="676"/>
      <c r="D62" s="277"/>
      <c r="E62" s="277"/>
      <c r="F62" s="277"/>
      <c r="G62" s="277"/>
      <c r="H62" s="277"/>
      <c r="I62" s="288">
        <f t="shared" si="1"/>
        <v>0</v>
      </c>
      <c r="J62" s="258"/>
      <c r="L62" s="281"/>
      <c r="M62" s="282"/>
      <c r="N62" s="282"/>
      <c r="O62" s="282"/>
      <c r="P62" s="282"/>
      <c r="Q62" s="282"/>
      <c r="R62" s="282"/>
      <c r="S62" s="282"/>
      <c r="T62" s="283"/>
    </row>
    <row r="63" spans="1:20" ht="25.5" customHeight="1" thickTop="1" thickBot="1" x14ac:dyDescent="0.45">
      <c r="A63" s="257"/>
      <c r="B63" s="675" t="e">
        <f>'Staffing Wages'!#REF!</f>
        <v>#REF!</v>
      </c>
      <c r="C63" s="676"/>
      <c r="D63" s="277"/>
      <c r="E63" s="277"/>
      <c r="F63" s="277"/>
      <c r="G63" s="277"/>
      <c r="H63" s="277"/>
      <c r="I63" s="288">
        <f t="shared" si="1"/>
        <v>0</v>
      </c>
      <c r="J63" s="258"/>
      <c r="L63" s="281"/>
      <c r="M63" s="282"/>
      <c r="N63" s="282"/>
      <c r="O63" s="282"/>
      <c r="P63" s="282"/>
      <c r="Q63" s="282"/>
      <c r="R63" s="282"/>
      <c r="S63" s="282"/>
      <c r="T63" s="283"/>
    </row>
    <row r="64" spans="1:20" ht="25.5" customHeight="1" thickTop="1" thickBot="1" x14ac:dyDescent="0.45">
      <c r="A64" s="257"/>
      <c r="B64" s="675" t="e">
        <f>'Staffing Wages'!#REF!</f>
        <v>#REF!</v>
      </c>
      <c r="C64" s="676"/>
      <c r="D64" s="277"/>
      <c r="E64" s="277"/>
      <c r="F64" s="277"/>
      <c r="G64" s="277"/>
      <c r="H64" s="277"/>
      <c r="I64" s="288">
        <f t="shared" si="1"/>
        <v>0</v>
      </c>
      <c r="J64" s="258"/>
      <c r="L64" s="281"/>
      <c r="M64" s="282"/>
      <c r="N64" s="282"/>
      <c r="O64" s="282"/>
      <c r="P64" s="282"/>
      <c r="Q64" s="282"/>
      <c r="R64" s="282"/>
      <c r="S64" s="282"/>
      <c r="T64" s="283"/>
    </row>
    <row r="65" spans="1:20" ht="25.5" customHeight="1" thickTop="1" thickBot="1" x14ac:dyDescent="0.45">
      <c r="A65" s="257"/>
      <c r="B65" s="675">
        <f>'Staffing Wages'!A31</f>
        <v>0</v>
      </c>
      <c r="C65" s="676"/>
      <c r="D65" s="277"/>
      <c r="E65" s="277"/>
      <c r="F65" s="277"/>
      <c r="G65" s="277"/>
      <c r="H65" s="277"/>
      <c r="I65" s="288">
        <f t="shared" si="1"/>
        <v>0</v>
      </c>
      <c r="J65" s="258"/>
      <c r="L65" s="281"/>
      <c r="M65" s="282"/>
      <c r="N65" s="282"/>
      <c r="O65" s="282"/>
      <c r="P65" s="282"/>
      <c r="Q65" s="282"/>
      <c r="R65" s="282"/>
      <c r="S65" s="282"/>
      <c r="T65" s="283"/>
    </row>
    <row r="66" spans="1:20" ht="25.5" customHeight="1" thickTop="1" thickBot="1" x14ac:dyDescent="0.45">
      <c r="A66" s="257"/>
      <c r="B66" s="675" t="str">
        <f>'Staffing Wages'!A29</f>
        <v>Agency Staff</v>
      </c>
      <c r="C66" s="676"/>
      <c r="D66" s="277"/>
      <c r="E66" s="277"/>
      <c r="F66" s="277"/>
      <c r="G66" s="277"/>
      <c r="H66" s="277"/>
      <c r="I66" s="288">
        <f t="shared" si="1"/>
        <v>0</v>
      </c>
      <c r="J66" s="258"/>
      <c r="L66" s="281"/>
      <c r="M66" s="282"/>
      <c r="N66" s="282"/>
      <c r="O66" s="282"/>
      <c r="P66" s="282"/>
      <c r="Q66" s="282"/>
      <c r="R66" s="282"/>
      <c r="S66" s="282"/>
      <c r="T66" s="283"/>
    </row>
    <row r="67" spans="1:20" ht="25.5" customHeight="1" thickTop="1" thickBot="1" x14ac:dyDescent="0.45">
      <c r="A67" s="257"/>
      <c r="B67" s="675" t="str">
        <f>'Staffing Wages'!A30</f>
        <v>Staff on training courses/Supernumerate</v>
      </c>
      <c r="C67" s="676"/>
      <c r="D67" s="277"/>
      <c r="E67" s="277"/>
      <c r="F67" s="277"/>
      <c r="G67" s="277"/>
      <c r="H67" s="277"/>
      <c r="I67" s="288">
        <f t="shared" si="1"/>
        <v>0</v>
      </c>
      <c r="J67" s="258"/>
      <c r="L67" s="281"/>
      <c r="M67" s="282"/>
      <c r="N67" s="282"/>
      <c r="O67" s="282"/>
      <c r="P67" s="282"/>
      <c r="Q67" s="282"/>
      <c r="R67" s="282"/>
      <c r="S67" s="282"/>
      <c r="T67" s="283"/>
    </row>
    <row r="68" spans="1:20" ht="25.5" customHeight="1" thickTop="1" thickBot="1" x14ac:dyDescent="0.45">
      <c r="A68" s="257"/>
      <c r="B68" s="675" t="e">
        <f>'Staffing Wages'!#REF!</f>
        <v>#REF!</v>
      </c>
      <c r="C68" s="676"/>
      <c r="D68" s="277"/>
      <c r="E68" s="277"/>
      <c r="F68" s="277"/>
      <c r="G68" s="277"/>
      <c r="H68" s="277"/>
      <c r="I68" s="288">
        <f t="shared" si="1"/>
        <v>0</v>
      </c>
      <c r="J68" s="258"/>
      <c r="L68" s="281"/>
      <c r="M68" s="282"/>
      <c r="N68" s="282"/>
      <c r="O68" s="282"/>
      <c r="P68" s="282"/>
      <c r="Q68" s="282"/>
      <c r="R68" s="282"/>
      <c r="S68" s="282"/>
      <c r="T68" s="283"/>
    </row>
    <row r="69" spans="1:20" ht="25.5" customHeight="1" thickTop="1" thickBot="1" x14ac:dyDescent="0.45">
      <c r="A69" s="257"/>
      <c r="B69" s="675" t="e">
        <f>'Staffing Wages'!#REF!</f>
        <v>#REF!</v>
      </c>
      <c r="C69" s="676"/>
      <c r="D69" s="277"/>
      <c r="E69" s="277"/>
      <c r="F69" s="277"/>
      <c r="G69" s="277"/>
      <c r="H69" s="277"/>
      <c r="I69" s="288">
        <f t="shared" si="1"/>
        <v>0</v>
      </c>
      <c r="J69" s="258"/>
      <c r="L69" s="281"/>
      <c r="M69" s="282"/>
      <c r="N69" s="282"/>
      <c r="O69" s="282"/>
      <c r="P69" s="282"/>
      <c r="Q69" s="282"/>
      <c r="R69" s="282"/>
      <c r="S69" s="282"/>
      <c r="T69" s="283"/>
    </row>
    <row r="70" spans="1:20" ht="25.5" customHeight="1" thickTop="1" thickBot="1" x14ac:dyDescent="0.45">
      <c r="A70" s="257"/>
      <c r="B70" s="675" t="e">
        <f>'Staffing Wages'!#REF!</f>
        <v>#REF!</v>
      </c>
      <c r="C70" s="676"/>
      <c r="D70" s="277"/>
      <c r="E70" s="277"/>
      <c r="F70" s="277"/>
      <c r="G70" s="277"/>
      <c r="H70" s="277"/>
      <c r="I70" s="288">
        <f t="shared" si="1"/>
        <v>0</v>
      </c>
      <c r="J70" s="258"/>
      <c r="L70" s="281"/>
      <c r="M70" s="282"/>
      <c r="N70" s="282"/>
      <c r="O70" s="282"/>
      <c r="P70" s="282"/>
      <c r="Q70" s="282"/>
      <c r="R70" s="282"/>
      <c r="S70" s="282"/>
      <c r="T70" s="283"/>
    </row>
    <row r="71" spans="1:20" ht="25.5" customHeight="1" thickTop="1" thickBot="1" x14ac:dyDescent="0.45">
      <c r="A71" s="257"/>
      <c r="B71" s="675" t="e">
        <f>'Staffing Wages'!#REF!</f>
        <v>#REF!</v>
      </c>
      <c r="C71" s="676"/>
      <c r="D71" s="277"/>
      <c r="E71" s="277"/>
      <c r="F71" s="277"/>
      <c r="G71" s="277"/>
      <c r="H71" s="277"/>
      <c r="I71" s="288">
        <f t="shared" si="1"/>
        <v>0</v>
      </c>
      <c r="J71" s="258"/>
      <c r="L71" s="281"/>
      <c r="M71" s="282"/>
      <c r="N71" s="282"/>
      <c r="O71" s="282"/>
      <c r="P71" s="282"/>
      <c r="Q71" s="282"/>
      <c r="R71" s="282"/>
      <c r="S71" s="282"/>
      <c r="T71" s="283"/>
    </row>
    <row r="72" spans="1:20" ht="25.5" customHeight="1" thickTop="1" thickBot="1" x14ac:dyDescent="0.45">
      <c r="A72" s="257"/>
      <c r="B72" s="675" t="e">
        <f>'Staffing Wages'!#REF!</f>
        <v>#REF!</v>
      </c>
      <c r="C72" s="676"/>
      <c r="D72" s="277"/>
      <c r="E72" s="277"/>
      <c r="F72" s="277"/>
      <c r="G72" s="277"/>
      <c r="H72" s="277"/>
      <c r="I72" s="288">
        <f t="shared" si="1"/>
        <v>0</v>
      </c>
      <c r="J72" s="258"/>
      <c r="L72" s="281"/>
      <c r="M72" s="282"/>
      <c r="N72" s="282"/>
      <c r="O72" s="282"/>
      <c r="P72" s="282"/>
      <c r="Q72" s="282"/>
      <c r="R72" s="282"/>
      <c r="S72" s="282"/>
      <c r="T72" s="283"/>
    </row>
    <row r="73" spans="1:20" ht="25.5" customHeight="1" thickTop="1" thickBot="1" x14ac:dyDescent="0.45">
      <c r="A73" s="257"/>
      <c r="B73" s="675" t="e">
        <f>'Staffing Wages'!#REF!</f>
        <v>#REF!</v>
      </c>
      <c r="C73" s="676"/>
      <c r="D73" s="277"/>
      <c r="E73" s="277"/>
      <c r="F73" s="277"/>
      <c r="G73" s="277"/>
      <c r="H73" s="277"/>
      <c r="I73" s="288">
        <f t="shared" si="1"/>
        <v>0</v>
      </c>
      <c r="J73" s="258"/>
      <c r="L73" s="281"/>
      <c r="M73" s="282"/>
      <c r="N73" s="282"/>
      <c r="O73" s="282"/>
      <c r="P73" s="282"/>
      <c r="Q73" s="282"/>
      <c r="R73" s="282"/>
      <c r="S73" s="282"/>
      <c r="T73" s="283"/>
    </row>
    <row r="74" spans="1:20" ht="25.5" customHeight="1" thickTop="1" thickBot="1" x14ac:dyDescent="0.45">
      <c r="A74" s="257"/>
      <c r="B74" s="675" t="e">
        <f>'Staffing Wages'!#REF!</f>
        <v>#REF!</v>
      </c>
      <c r="C74" s="676"/>
      <c r="D74" s="277"/>
      <c r="E74" s="277"/>
      <c r="F74" s="277"/>
      <c r="G74" s="277"/>
      <c r="H74" s="277"/>
      <c r="I74" s="288">
        <f t="shared" si="1"/>
        <v>0</v>
      </c>
      <c r="J74" s="258"/>
      <c r="L74" s="281"/>
      <c r="M74" s="282"/>
      <c r="N74" s="282"/>
      <c r="O74" s="282"/>
      <c r="P74" s="282"/>
      <c r="Q74" s="282"/>
      <c r="R74" s="282"/>
      <c r="S74" s="282"/>
      <c r="T74" s="283"/>
    </row>
    <row r="75" spans="1:20" ht="25.5" customHeight="1" thickTop="1" thickBot="1" x14ac:dyDescent="0.45">
      <c r="A75" s="257"/>
      <c r="B75" s="675" t="e">
        <f>'Staffing Wages'!#REF!</f>
        <v>#REF!</v>
      </c>
      <c r="C75" s="676"/>
      <c r="D75" s="277"/>
      <c r="E75" s="277"/>
      <c r="F75" s="277"/>
      <c r="G75" s="277"/>
      <c r="H75" s="277"/>
      <c r="I75" s="288">
        <f t="shared" si="1"/>
        <v>0</v>
      </c>
      <c r="J75" s="258"/>
      <c r="L75" s="281"/>
      <c r="M75" s="282"/>
      <c r="N75" s="282"/>
      <c r="O75" s="282"/>
      <c r="P75" s="282"/>
      <c r="Q75" s="282"/>
      <c r="R75" s="282"/>
      <c r="S75" s="282"/>
      <c r="T75" s="283"/>
    </row>
    <row r="76" spans="1:20" ht="25.5" customHeight="1" thickTop="1" thickBot="1" x14ac:dyDescent="0.45">
      <c r="A76" s="257"/>
      <c r="B76" s="675" t="e">
        <f>'Staffing Wages'!#REF!</f>
        <v>#REF!</v>
      </c>
      <c r="C76" s="676"/>
      <c r="D76" s="277"/>
      <c r="E76" s="277"/>
      <c r="F76" s="277"/>
      <c r="G76" s="277"/>
      <c r="H76" s="277"/>
      <c r="I76" s="288">
        <f t="shared" si="1"/>
        <v>0</v>
      </c>
      <c r="J76" s="258"/>
      <c r="L76" s="281"/>
      <c r="M76" s="282"/>
      <c r="N76" s="282"/>
      <c r="O76" s="282"/>
      <c r="P76" s="282"/>
      <c r="Q76" s="282"/>
      <c r="R76" s="282"/>
      <c r="S76" s="282"/>
      <c r="T76" s="283"/>
    </row>
    <row r="77" spans="1:20" ht="25.5" customHeight="1" thickTop="1" thickBot="1" x14ac:dyDescent="0.45">
      <c r="A77" s="257"/>
      <c r="B77" s="677" t="e">
        <f>'Staffing Wages'!#REF!</f>
        <v>#REF!</v>
      </c>
      <c r="C77" s="677"/>
      <c r="D77" s="277"/>
      <c r="E77" s="277"/>
      <c r="F77" s="277"/>
      <c r="G77" s="277"/>
      <c r="H77" s="277"/>
      <c r="I77" s="288">
        <f t="shared" si="1"/>
        <v>0</v>
      </c>
      <c r="J77" s="258"/>
      <c r="L77" s="281"/>
      <c r="M77" s="282"/>
      <c r="N77" s="282"/>
      <c r="O77" s="282"/>
      <c r="P77" s="282"/>
      <c r="Q77" s="282"/>
      <c r="R77" s="282"/>
      <c r="S77" s="282"/>
      <c r="T77" s="283"/>
    </row>
    <row r="78" spans="1:20" ht="25.5" customHeight="1" thickTop="1" thickBot="1" x14ac:dyDescent="0.45">
      <c r="A78" s="263"/>
      <c r="B78" s="264"/>
      <c r="C78" s="264"/>
      <c r="D78" s="264"/>
      <c r="E78" s="264"/>
      <c r="F78" s="264"/>
      <c r="G78" s="264"/>
      <c r="H78" s="264"/>
      <c r="I78" s="264"/>
      <c r="J78" s="265"/>
      <c r="L78" s="281"/>
      <c r="M78" s="282"/>
      <c r="N78" s="282"/>
      <c r="O78" s="282"/>
      <c r="P78" s="282"/>
      <c r="Q78" s="282"/>
      <c r="R78" s="282"/>
      <c r="S78" s="282"/>
      <c r="T78" s="283"/>
    </row>
    <row r="79" spans="1:20" x14ac:dyDescent="0.4">
      <c r="L79" s="281"/>
      <c r="M79" s="282"/>
      <c r="N79" s="282"/>
      <c r="O79" s="282"/>
      <c r="P79" s="282"/>
      <c r="Q79" s="282"/>
      <c r="R79" s="282"/>
      <c r="S79" s="282"/>
      <c r="T79" s="283"/>
    </row>
    <row r="80" spans="1:20" x14ac:dyDescent="0.4">
      <c r="L80" s="281"/>
      <c r="M80" s="282"/>
      <c r="N80" s="282"/>
      <c r="O80" s="282"/>
      <c r="P80" s="282"/>
      <c r="Q80" s="282"/>
      <c r="R80" s="282"/>
      <c r="S80" s="282"/>
      <c r="T80" s="283"/>
    </row>
    <row r="81" spans="12:20" x14ac:dyDescent="0.4">
      <c r="L81" s="281"/>
      <c r="M81" s="282"/>
      <c r="N81" s="282"/>
      <c r="O81" s="282"/>
      <c r="P81" s="282"/>
      <c r="Q81" s="282"/>
      <c r="R81" s="282"/>
      <c r="S81" s="282"/>
      <c r="T81" s="283"/>
    </row>
    <row r="82" spans="12:20" x14ac:dyDescent="0.4">
      <c r="L82" s="281"/>
      <c r="M82" s="282"/>
      <c r="N82" s="282"/>
      <c r="O82" s="282"/>
      <c r="P82" s="282"/>
      <c r="Q82" s="282"/>
      <c r="R82" s="282"/>
      <c r="S82" s="282"/>
      <c r="T82" s="283"/>
    </row>
    <row r="83" spans="12:20" x14ac:dyDescent="0.4">
      <c r="L83" s="281"/>
      <c r="M83" s="282"/>
      <c r="N83" s="282"/>
      <c r="O83" s="282"/>
      <c r="P83" s="282"/>
      <c r="Q83" s="282"/>
      <c r="R83" s="282"/>
      <c r="S83" s="282"/>
      <c r="T83" s="283"/>
    </row>
    <row r="84" spans="12:20" x14ac:dyDescent="0.4">
      <c r="L84" s="281"/>
      <c r="M84" s="282"/>
      <c r="N84" s="282"/>
      <c r="O84" s="282"/>
      <c r="P84" s="282"/>
      <c r="Q84" s="282"/>
      <c r="R84" s="282"/>
      <c r="S84" s="282"/>
      <c r="T84" s="283"/>
    </row>
    <row r="85" spans="12:20" x14ac:dyDescent="0.4">
      <c r="L85" s="281"/>
      <c r="M85" s="282"/>
      <c r="N85" s="282"/>
      <c r="O85" s="282"/>
      <c r="P85" s="282"/>
      <c r="Q85" s="282"/>
      <c r="R85" s="282"/>
      <c r="S85" s="282"/>
      <c r="T85" s="283"/>
    </row>
    <row r="86" spans="12:20" x14ac:dyDescent="0.4">
      <c r="L86" s="281"/>
      <c r="M86" s="282"/>
      <c r="N86" s="282"/>
      <c r="O86" s="282"/>
      <c r="P86" s="282"/>
      <c r="Q86" s="282"/>
      <c r="R86" s="282"/>
      <c r="S86" s="282"/>
      <c r="T86" s="283"/>
    </row>
    <row r="87" spans="12:20" x14ac:dyDescent="0.4">
      <c r="L87" s="281"/>
      <c r="M87" s="282"/>
      <c r="N87" s="282"/>
      <c r="O87" s="282"/>
      <c r="P87" s="282"/>
      <c r="Q87" s="282"/>
      <c r="R87" s="282"/>
      <c r="S87" s="282"/>
      <c r="T87" s="283"/>
    </row>
    <row r="88" spans="12:20" x14ac:dyDescent="0.4">
      <c r="L88" s="281"/>
      <c r="M88" s="282"/>
      <c r="N88" s="282"/>
      <c r="O88" s="282"/>
      <c r="P88" s="282"/>
      <c r="Q88" s="282"/>
      <c r="R88" s="282"/>
      <c r="S88" s="282"/>
      <c r="T88" s="283"/>
    </row>
    <row r="89" spans="12:20" x14ac:dyDescent="0.4">
      <c r="L89" s="281"/>
      <c r="M89" s="282"/>
      <c r="N89" s="282"/>
      <c r="O89" s="282"/>
      <c r="P89" s="282"/>
      <c r="Q89" s="282"/>
      <c r="R89" s="282"/>
      <c r="S89" s="282"/>
      <c r="T89" s="283"/>
    </row>
    <row r="90" spans="12:20" x14ac:dyDescent="0.4">
      <c r="L90" s="281"/>
      <c r="M90" s="282"/>
      <c r="N90" s="282"/>
      <c r="O90" s="282"/>
      <c r="P90" s="282"/>
      <c r="Q90" s="282"/>
      <c r="R90" s="282"/>
      <c r="S90" s="282"/>
      <c r="T90" s="283"/>
    </row>
    <row r="91" spans="12:20" x14ac:dyDescent="0.4">
      <c r="L91" s="281"/>
      <c r="M91" s="282"/>
      <c r="N91" s="282"/>
      <c r="O91" s="282"/>
      <c r="P91" s="282"/>
      <c r="Q91" s="282"/>
      <c r="R91" s="282"/>
      <c r="S91" s="282"/>
      <c r="T91" s="283"/>
    </row>
    <row r="92" spans="12:20" x14ac:dyDescent="0.4">
      <c r="L92" s="281"/>
      <c r="M92" s="282"/>
      <c r="N92" s="282"/>
      <c r="O92" s="282"/>
      <c r="P92" s="282"/>
      <c r="Q92" s="282"/>
      <c r="R92" s="282"/>
      <c r="S92" s="282"/>
      <c r="T92" s="283"/>
    </row>
    <row r="93" spans="12:20" x14ac:dyDescent="0.4">
      <c r="L93" s="281"/>
      <c r="M93" s="282"/>
      <c r="N93" s="282"/>
      <c r="O93" s="282"/>
      <c r="P93" s="282"/>
      <c r="Q93" s="282"/>
      <c r="R93" s="282"/>
      <c r="S93" s="282"/>
      <c r="T93" s="283"/>
    </row>
    <row r="94" spans="12:20" x14ac:dyDescent="0.4">
      <c r="L94" s="281"/>
      <c r="M94" s="282"/>
      <c r="N94" s="282"/>
      <c r="O94" s="282"/>
      <c r="P94" s="282"/>
      <c r="Q94" s="282"/>
      <c r="R94" s="282"/>
      <c r="S94" s="282"/>
      <c r="T94" s="283"/>
    </row>
    <row r="95" spans="12:20" x14ac:dyDescent="0.4">
      <c r="L95" s="281"/>
      <c r="M95" s="282"/>
      <c r="N95" s="282"/>
      <c r="O95" s="282"/>
      <c r="P95" s="282"/>
      <c r="Q95" s="282"/>
      <c r="R95" s="282"/>
      <c r="S95" s="282"/>
      <c r="T95" s="283"/>
    </row>
    <row r="96" spans="12:20" x14ac:dyDescent="0.4">
      <c r="L96" s="281"/>
      <c r="M96" s="282"/>
      <c r="N96" s="282"/>
      <c r="O96" s="282"/>
      <c r="P96" s="282"/>
      <c r="Q96" s="282"/>
      <c r="R96" s="282"/>
      <c r="S96" s="282"/>
      <c r="T96" s="283"/>
    </row>
    <row r="97" spans="12:20" x14ac:dyDescent="0.4">
      <c r="L97" s="281"/>
      <c r="M97" s="282"/>
      <c r="N97" s="282"/>
      <c r="O97" s="282"/>
      <c r="P97" s="282"/>
      <c r="Q97" s="282"/>
      <c r="R97" s="282"/>
      <c r="S97" s="282"/>
      <c r="T97" s="283"/>
    </row>
    <row r="98" spans="12:20" x14ac:dyDescent="0.4">
      <c r="L98" s="281"/>
      <c r="M98" s="282"/>
      <c r="N98" s="282"/>
      <c r="O98" s="282"/>
      <c r="P98" s="282"/>
      <c r="Q98" s="282"/>
      <c r="R98" s="282"/>
      <c r="S98" s="282"/>
      <c r="T98" s="283"/>
    </row>
    <row r="99" spans="12:20" x14ac:dyDescent="0.4">
      <c r="L99" s="281"/>
      <c r="M99" s="282"/>
      <c r="N99" s="282"/>
      <c r="O99" s="282"/>
      <c r="P99" s="282"/>
      <c r="Q99" s="282"/>
      <c r="R99" s="282"/>
      <c r="S99" s="282"/>
      <c r="T99" s="283"/>
    </row>
    <row r="100" spans="12:20" x14ac:dyDescent="0.4">
      <c r="L100" s="281"/>
      <c r="M100" s="282"/>
      <c r="N100" s="282"/>
      <c r="O100" s="282"/>
      <c r="P100" s="282"/>
      <c r="Q100" s="282"/>
      <c r="R100" s="282"/>
      <c r="S100" s="282"/>
      <c r="T100" s="283"/>
    </row>
    <row r="101" spans="12:20" x14ac:dyDescent="0.4">
      <c r="L101" s="281"/>
      <c r="M101" s="282"/>
      <c r="N101" s="282"/>
      <c r="O101" s="282"/>
      <c r="P101" s="282"/>
      <c r="Q101" s="282"/>
      <c r="R101" s="282"/>
      <c r="S101" s="282"/>
      <c r="T101" s="283"/>
    </row>
    <row r="102" spans="12:20" x14ac:dyDescent="0.4">
      <c r="L102" s="281"/>
      <c r="M102" s="282"/>
      <c r="N102" s="282"/>
      <c r="O102" s="282"/>
      <c r="P102" s="282"/>
      <c r="Q102" s="282"/>
      <c r="R102" s="282"/>
      <c r="S102" s="282"/>
      <c r="T102" s="283"/>
    </row>
    <row r="103" spans="12:20" x14ac:dyDescent="0.4">
      <c r="L103" s="281"/>
      <c r="M103" s="282"/>
      <c r="N103" s="282"/>
      <c r="O103" s="282"/>
      <c r="P103" s="282"/>
      <c r="Q103" s="282"/>
      <c r="R103" s="282"/>
      <c r="S103" s="282"/>
      <c r="T103" s="283"/>
    </row>
    <row r="104" spans="12:20" x14ac:dyDescent="0.4">
      <c r="L104" s="281"/>
      <c r="M104" s="282"/>
      <c r="N104" s="282"/>
      <c r="O104" s="282"/>
      <c r="P104" s="282"/>
      <c r="Q104" s="282"/>
      <c r="R104" s="282"/>
      <c r="S104" s="282"/>
      <c r="T104" s="283"/>
    </row>
    <row r="105" spans="12:20" x14ac:dyDescent="0.4">
      <c r="L105" s="281"/>
      <c r="M105" s="282"/>
      <c r="N105" s="282"/>
      <c r="O105" s="282"/>
      <c r="P105" s="282"/>
      <c r="Q105" s="282"/>
      <c r="R105" s="282"/>
      <c r="S105" s="282"/>
      <c r="T105" s="283"/>
    </row>
    <row r="106" spans="12:20" x14ac:dyDescent="0.4">
      <c r="L106" s="281"/>
      <c r="M106" s="282"/>
      <c r="N106" s="282"/>
      <c r="O106" s="282"/>
      <c r="P106" s="282"/>
      <c r="Q106" s="282"/>
      <c r="R106" s="282"/>
      <c r="S106" s="282"/>
      <c r="T106" s="283"/>
    </row>
    <row r="107" spans="12:20" x14ac:dyDescent="0.4">
      <c r="L107" s="281"/>
      <c r="M107" s="282"/>
      <c r="N107" s="282"/>
      <c r="O107" s="282"/>
      <c r="P107" s="282"/>
      <c r="Q107" s="282"/>
      <c r="R107" s="282"/>
      <c r="S107" s="282"/>
      <c r="T107" s="283"/>
    </row>
    <row r="108" spans="12:20" x14ac:dyDescent="0.4">
      <c r="L108" s="281"/>
      <c r="M108" s="282"/>
      <c r="N108" s="282"/>
      <c r="O108" s="282"/>
      <c r="P108" s="282"/>
      <c r="Q108" s="282"/>
      <c r="R108" s="282"/>
      <c r="S108" s="282"/>
      <c r="T108" s="283"/>
    </row>
    <row r="109" spans="12:20" x14ac:dyDescent="0.4">
      <c r="L109" s="281"/>
      <c r="M109" s="282"/>
      <c r="N109" s="282"/>
      <c r="O109" s="282"/>
      <c r="P109" s="282"/>
      <c r="Q109" s="282"/>
      <c r="R109" s="282"/>
      <c r="S109" s="282"/>
      <c r="T109" s="283"/>
    </row>
    <row r="110" spans="12:20" x14ac:dyDescent="0.4">
      <c r="L110" s="281"/>
      <c r="M110" s="282"/>
      <c r="N110" s="282"/>
      <c r="O110" s="282"/>
      <c r="P110" s="282"/>
      <c r="Q110" s="282"/>
      <c r="R110" s="282"/>
      <c r="S110" s="282"/>
      <c r="T110" s="283"/>
    </row>
    <row r="111" spans="12:20" x14ac:dyDescent="0.4">
      <c r="L111" s="281"/>
      <c r="M111" s="282"/>
      <c r="N111" s="282"/>
      <c r="O111" s="282"/>
      <c r="P111" s="282"/>
      <c r="Q111" s="282"/>
      <c r="R111" s="282"/>
      <c r="S111" s="282"/>
      <c r="T111" s="283"/>
    </row>
    <row r="112" spans="12:20" x14ac:dyDescent="0.4">
      <c r="L112" s="281"/>
      <c r="M112" s="282"/>
      <c r="N112" s="282"/>
      <c r="O112" s="282"/>
      <c r="P112" s="282"/>
      <c r="Q112" s="282"/>
      <c r="R112" s="282"/>
      <c r="S112" s="282"/>
      <c r="T112" s="283"/>
    </row>
    <row r="113" spans="12:20" x14ac:dyDescent="0.4">
      <c r="L113" s="281"/>
      <c r="M113" s="282"/>
      <c r="N113" s="282"/>
      <c r="O113" s="282"/>
      <c r="P113" s="282"/>
      <c r="Q113" s="282"/>
      <c r="R113" s="282"/>
      <c r="S113" s="282"/>
      <c r="T113" s="283"/>
    </row>
    <row r="114" spans="12:20" x14ac:dyDescent="0.4">
      <c r="L114" s="281"/>
      <c r="M114" s="282"/>
      <c r="N114" s="282"/>
      <c r="O114" s="282"/>
      <c r="P114" s="282"/>
      <c r="Q114" s="282"/>
      <c r="R114" s="282"/>
      <c r="S114" s="282"/>
      <c r="T114" s="283"/>
    </row>
    <row r="115" spans="12:20" x14ac:dyDescent="0.4">
      <c r="L115" s="281"/>
      <c r="M115" s="282"/>
      <c r="N115" s="282"/>
      <c r="O115" s="282"/>
      <c r="P115" s="282"/>
      <c r="Q115" s="282"/>
      <c r="R115" s="282"/>
      <c r="S115" s="282"/>
      <c r="T115" s="283"/>
    </row>
    <row r="116" spans="12:20" x14ac:dyDescent="0.4">
      <c r="L116" s="281"/>
      <c r="M116" s="282"/>
      <c r="N116" s="282"/>
      <c r="O116" s="282"/>
      <c r="P116" s="282"/>
      <c r="Q116" s="282"/>
      <c r="R116" s="282"/>
      <c r="S116" s="282"/>
      <c r="T116" s="283"/>
    </row>
    <row r="117" spans="12:20" x14ac:dyDescent="0.4">
      <c r="L117" s="281"/>
      <c r="M117" s="282"/>
      <c r="N117" s="282"/>
      <c r="O117" s="282"/>
      <c r="P117" s="282"/>
      <c r="Q117" s="282"/>
      <c r="R117" s="282"/>
      <c r="S117" s="282"/>
      <c r="T117" s="283"/>
    </row>
    <row r="118" spans="12:20" x14ac:dyDescent="0.4">
      <c r="L118" s="281"/>
      <c r="M118" s="282"/>
      <c r="N118" s="282"/>
      <c r="O118" s="282"/>
      <c r="P118" s="282"/>
      <c r="Q118" s="282"/>
      <c r="R118" s="282"/>
      <c r="S118" s="282"/>
      <c r="T118" s="283"/>
    </row>
    <row r="119" spans="12:20" x14ac:dyDescent="0.4">
      <c r="L119" s="281"/>
      <c r="M119" s="282"/>
      <c r="N119" s="282"/>
      <c r="O119" s="282"/>
      <c r="P119" s="282"/>
      <c r="Q119" s="282"/>
      <c r="R119" s="282"/>
      <c r="S119" s="282"/>
      <c r="T119" s="283"/>
    </row>
    <row r="120" spans="12:20" x14ac:dyDescent="0.4">
      <c r="L120" s="281"/>
      <c r="M120" s="282"/>
      <c r="N120" s="282"/>
      <c r="O120" s="282"/>
      <c r="P120" s="282"/>
      <c r="Q120" s="282"/>
      <c r="R120" s="282"/>
      <c r="S120" s="282"/>
      <c r="T120" s="283"/>
    </row>
    <row r="121" spans="12:20" x14ac:dyDescent="0.4">
      <c r="L121" s="281"/>
      <c r="M121" s="282"/>
      <c r="N121" s="282"/>
      <c r="O121" s="282"/>
      <c r="P121" s="282"/>
      <c r="Q121" s="282"/>
      <c r="R121" s="282"/>
      <c r="S121" s="282"/>
      <c r="T121" s="283"/>
    </row>
    <row r="122" spans="12:20" x14ac:dyDescent="0.4">
      <c r="L122" s="281"/>
      <c r="M122" s="282"/>
      <c r="N122" s="282"/>
      <c r="O122" s="282"/>
      <c r="P122" s="282"/>
      <c r="Q122" s="282"/>
      <c r="R122" s="282"/>
      <c r="S122" s="282"/>
      <c r="T122" s="283"/>
    </row>
    <row r="123" spans="12:20" x14ac:dyDescent="0.4">
      <c r="L123" s="281"/>
      <c r="M123" s="282"/>
      <c r="N123" s="282"/>
      <c r="O123" s="282"/>
      <c r="P123" s="282"/>
      <c r="Q123" s="282"/>
      <c r="R123" s="282"/>
      <c r="S123" s="282"/>
      <c r="T123" s="283"/>
    </row>
    <row r="124" spans="12:20" x14ac:dyDescent="0.4">
      <c r="L124" s="281"/>
      <c r="M124" s="282"/>
      <c r="N124" s="282"/>
      <c r="O124" s="282"/>
      <c r="P124" s="282"/>
      <c r="Q124" s="282"/>
      <c r="R124" s="282"/>
      <c r="S124" s="282"/>
      <c r="T124" s="283"/>
    </row>
    <row r="125" spans="12:20" x14ac:dyDescent="0.4">
      <c r="L125" s="281"/>
      <c r="M125" s="282"/>
      <c r="N125" s="282"/>
      <c r="O125" s="282"/>
      <c r="P125" s="282"/>
      <c r="Q125" s="282"/>
      <c r="R125" s="282"/>
      <c r="S125" s="282"/>
      <c r="T125" s="283"/>
    </row>
    <row r="126" spans="12:20" x14ac:dyDescent="0.4">
      <c r="L126" s="281"/>
      <c r="M126" s="282"/>
      <c r="N126" s="282"/>
      <c r="O126" s="282"/>
      <c r="P126" s="282"/>
      <c r="Q126" s="282"/>
      <c r="R126" s="282"/>
      <c r="S126" s="282"/>
      <c r="T126" s="283"/>
    </row>
    <row r="127" spans="12:20" x14ac:dyDescent="0.4">
      <c r="L127" s="281"/>
      <c r="M127" s="282"/>
      <c r="N127" s="282"/>
      <c r="O127" s="282"/>
      <c r="P127" s="282"/>
      <c r="Q127" s="282"/>
      <c r="R127" s="282"/>
      <c r="S127" s="282"/>
      <c r="T127" s="283"/>
    </row>
    <row r="128" spans="12:20" x14ac:dyDescent="0.4">
      <c r="L128" s="281"/>
      <c r="M128" s="282"/>
      <c r="N128" s="282"/>
      <c r="O128" s="282"/>
      <c r="P128" s="282"/>
      <c r="Q128" s="282"/>
      <c r="R128" s="282"/>
      <c r="S128" s="282"/>
      <c r="T128" s="283"/>
    </row>
    <row r="129" spans="12:20" x14ac:dyDescent="0.4">
      <c r="L129" s="281"/>
      <c r="M129" s="282"/>
      <c r="N129" s="282"/>
      <c r="O129" s="282"/>
      <c r="P129" s="282"/>
      <c r="Q129" s="282"/>
      <c r="R129" s="282"/>
      <c r="S129" s="282"/>
      <c r="T129" s="283"/>
    </row>
    <row r="130" spans="12:20" x14ac:dyDescent="0.4">
      <c r="L130" s="281"/>
      <c r="M130" s="282"/>
      <c r="N130" s="282"/>
      <c r="O130" s="282"/>
      <c r="P130" s="282"/>
      <c r="Q130" s="282"/>
      <c r="R130" s="282"/>
      <c r="S130" s="282"/>
      <c r="T130" s="283"/>
    </row>
    <row r="131" spans="12:20" x14ac:dyDescent="0.4">
      <c r="L131" s="281"/>
      <c r="M131" s="282"/>
      <c r="N131" s="282"/>
      <c r="O131" s="282"/>
      <c r="P131" s="282"/>
      <c r="Q131" s="282"/>
      <c r="R131" s="282"/>
      <c r="S131" s="282"/>
      <c r="T131" s="283"/>
    </row>
    <row r="132" spans="12:20" x14ac:dyDescent="0.4">
      <c r="L132" s="281"/>
      <c r="M132" s="282"/>
      <c r="N132" s="282"/>
      <c r="O132" s="282"/>
      <c r="P132" s="282"/>
      <c r="Q132" s="282"/>
      <c r="R132" s="282"/>
      <c r="S132" s="282"/>
      <c r="T132" s="283"/>
    </row>
    <row r="133" spans="12:20" x14ac:dyDescent="0.4">
      <c r="L133" s="281"/>
      <c r="M133" s="282"/>
      <c r="N133" s="282"/>
      <c r="O133" s="282"/>
      <c r="P133" s="282"/>
      <c r="Q133" s="282"/>
      <c r="R133" s="282"/>
      <c r="S133" s="282"/>
      <c r="T133" s="283"/>
    </row>
    <row r="134" spans="12:20" x14ac:dyDescent="0.4">
      <c r="L134" s="281"/>
      <c r="M134" s="282"/>
      <c r="N134" s="282"/>
      <c r="O134" s="282"/>
      <c r="P134" s="282"/>
      <c r="Q134" s="282"/>
      <c r="R134" s="282"/>
      <c r="S134" s="282"/>
      <c r="T134" s="283"/>
    </row>
    <row r="135" spans="12:20" x14ac:dyDescent="0.4">
      <c r="L135" s="281"/>
      <c r="M135" s="282"/>
      <c r="N135" s="282"/>
      <c r="O135" s="282"/>
      <c r="P135" s="282"/>
      <c r="Q135" s="282"/>
      <c r="R135" s="282"/>
      <c r="S135" s="282"/>
      <c r="T135" s="283"/>
    </row>
    <row r="136" spans="12:20" x14ac:dyDescent="0.4">
      <c r="L136" s="281"/>
      <c r="M136" s="282"/>
      <c r="N136" s="282"/>
      <c r="O136" s="282"/>
      <c r="P136" s="282"/>
      <c r="Q136" s="282"/>
      <c r="R136" s="282"/>
      <c r="S136" s="282"/>
      <c r="T136" s="283"/>
    </row>
    <row r="137" spans="12:20" x14ac:dyDescent="0.4">
      <c r="L137" s="281"/>
      <c r="M137" s="282"/>
      <c r="N137" s="282"/>
      <c r="O137" s="282"/>
      <c r="P137" s="282"/>
      <c r="Q137" s="282"/>
      <c r="R137" s="282"/>
      <c r="S137" s="282"/>
      <c r="T137" s="283"/>
    </row>
    <row r="138" spans="12:20" x14ac:dyDescent="0.4">
      <c r="L138" s="281"/>
      <c r="M138" s="282"/>
      <c r="N138" s="282"/>
      <c r="O138" s="282"/>
      <c r="P138" s="282"/>
      <c r="Q138" s="282"/>
      <c r="R138" s="282"/>
      <c r="S138" s="282"/>
      <c r="T138" s="283"/>
    </row>
    <row r="139" spans="12:20" x14ac:dyDescent="0.4">
      <c r="L139" s="281"/>
      <c r="M139" s="282"/>
      <c r="N139" s="282"/>
      <c r="O139" s="282"/>
      <c r="P139" s="282"/>
      <c r="Q139" s="282"/>
      <c r="R139" s="282"/>
      <c r="S139" s="282"/>
      <c r="T139" s="283"/>
    </row>
    <row r="140" spans="12:20" x14ac:dyDescent="0.4">
      <c r="L140" s="281"/>
      <c r="M140" s="282"/>
      <c r="N140" s="282"/>
      <c r="O140" s="282"/>
      <c r="P140" s="282"/>
      <c r="Q140" s="282"/>
      <c r="R140" s="282"/>
      <c r="S140" s="282"/>
      <c r="T140" s="283"/>
    </row>
    <row r="141" spans="12:20" x14ac:dyDescent="0.4">
      <c r="L141" s="281"/>
      <c r="M141" s="282"/>
      <c r="N141" s="282"/>
      <c r="O141" s="282"/>
      <c r="P141" s="282"/>
      <c r="Q141" s="282"/>
      <c r="R141" s="282"/>
      <c r="S141" s="282"/>
      <c r="T141" s="283"/>
    </row>
    <row r="142" spans="12:20" x14ac:dyDescent="0.4">
      <c r="L142" s="281"/>
      <c r="M142" s="282"/>
      <c r="N142" s="282"/>
      <c r="O142" s="282"/>
      <c r="P142" s="282"/>
      <c r="Q142" s="282"/>
      <c r="R142" s="282"/>
      <c r="S142" s="282"/>
      <c r="T142" s="283"/>
    </row>
    <row r="143" spans="12:20" x14ac:dyDescent="0.4">
      <c r="L143" s="281"/>
      <c r="M143" s="282"/>
      <c r="N143" s="282"/>
      <c r="O143" s="282"/>
      <c r="P143" s="282"/>
      <c r="Q143" s="282"/>
      <c r="R143" s="282"/>
      <c r="S143" s="282"/>
      <c r="T143" s="283"/>
    </row>
    <row r="144" spans="12:20" x14ac:dyDescent="0.4">
      <c r="L144" s="281"/>
      <c r="M144" s="282"/>
      <c r="N144" s="282"/>
      <c r="O144" s="282"/>
      <c r="P144" s="282"/>
      <c r="Q144" s="282"/>
      <c r="R144" s="282"/>
      <c r="S144" s="282"/>
      <c r="T144" s="283"/>
    </row>
    <row r="145" spans="12:20" x14ac:dyDescent="0.4">
      <c r="L145" s="281"/>
      <c r="M145" s="282"/>
      <c r="N145" s="282"/>
      <c r="O145" s="282"/>
      <c r="P145" s="282"/>
      <c r="Q145" s="282"/>
      <c r="R145" s="282"/>
      <c r="S145" s="282"/>
      <c r="T145" s="283"/>
    </row>
    <row r="146" spans="12:20" x14ac:dyDescent="0.4">
      <c r="L146" s="281"/>
      <c r="M146" s="282"/>
      <c r="N146" s="282"/>
      <c r="O146" s="282"/>
      <c r="P146" s="282"/>
      <c r="Q146" s="282"/>
      <c r="R146" s="282"/>
      <c r="S146" s="282"/>
      <c r="T146" s="283"/>
    </row>
    <row r="147" spans="12:20" x14ac:dyDescent="0.4">
      <c r="L147" s="281"/>
      <c r="M147" s="282"/>
      <c r="N147" s="282"/>
      <c r="O147" s="282"/>
      <c r="P147" s="282"/>
      <c r="Q147" s="282"/>
      <c r="R147" s="282"/>
      <c r="S147" s="282"/>
      <c r="T147" s="283"/>
    </row>
    <row r="148" spans="12:20" x14ac:dyDescent="0.4">
      <c r="L148" s="281"/>
      <c r="M148" s="282"/>
      <c r="N148" s="282"/>
      <c r="O148" s="282"/>
      <c r="P148" s="282"/>
      <c r="Q148" s="282"/>
      <c r="R148" s="282"/>
      <c r="S148" s="282"/>
      <c r="T148" s="283"/>
    </row>
    <row r="149" spans="12:20" x14ac:dyDescent="0.4">
      <c r="L149" s="281"/>
      <c r="M149" s="282"/>
      <c r="N149" s="282"/>
      <c r="O149" s="282"/>
      <c r="P149" s="282"/>
      <c r="Q149" s="282"/>
      <c r="R149" s="282"/>
      <c r="S149" s="282"/>
      <c r="T149" s="283"/>
    </row>
    <row r="150" spans="12:20" x14ac:dyDescent="0.4">
      <c r="L150" s="281"/>
      <c r="M150" s="282"/>
      <c r="N150" s="282"/>
      <c r="O150" s="282"/>
      <c r="P150" s="282"/>
      <c r="Q150" s="282"/>
      <c r="R150" s="282"/>
      <c r="S150" s="282"/>
      <c r="T150" s="283"/>
    </row>
    <row r="151" spans="12:20" x14ac:dyDescent="0.4">
      <c r="L151" s="281"/>
      <c r="M151" s="282"/>
      <c r="N151" s="282"/>
      <c r="O151" s="282"/>
      <c r="P151" s="282"/>
      <c r="Q151" s="282"/>
      <c r="R151" s="282"/>
      <c r="S151" s="282"/>
      <c r="T151" s="283"/>
    </row>
    <row r="152" spans="12:20" x14ac:dyDescent="0.4">
      <c r="L152" s="281"/>
      <c r="M152" s="282"/>
      <c r="N152" s="282"/>
      <c r="O152" s="282"/>
      <c r="P152" s="282"/>
      <c r="Q152" s="282"/>
      <c r="R152" s="282"/>
      <c r="S152" s="282"/>
      <c r="T152" s="283"/>
    </row>
    <row r="153" spans="12:20" x14ac:dyDescent="0.4">
      <c r="L153" s="281"/>
      <c r="M153" s="282"/>
      <c r="N153" s="282"/>
      <c r="O153" s="282"/>
      <c r="P153" s="282"/>
      <c r="Q153" s="282"/>
      <c r="R153" s="282"/>
      <c r="S153" s="282"/>
      <c r="T153" s="283"/>
    </row>
    <row r="154" spans="12:20" x14ac:dyDescent="0.4">
      <c r="L154" s="281"/>
      <c r="M154" s="282"/>
      <c r="N154" s="282"/>
      <c r="O154" s="282"/>
      <c r="P154" s="282"/>
      <c r="Q154" s="282"/>
      <c r="R154" s="282"/>
      <c r="S154" s="282"/>
      <c r="T154" s="283"/>
    </row>
    <row r="155" spans="12:20" x14ac:dyDescent="0.4">
      <c r="L155" s="281"/>
      <c r="M155" s="282"/>
      <c r="N155" s="282"/>
      <c r="O155" s="282"/>
      <c r="P155" s="282"/>
      <c r="Q155" s="282"/>
      <c r="R155" s="282"/>
      <c r="S155" s="282"/>
      <c r="T155" s="283"/>
    </row>
    <row r="156" spans="12:20" x14ac:dyDescent="0.4">
      <c r="L156" s="281"/>
      <c r="M156" s="282"/>
      <c r="N156" s="282"/>
      <c r="O156" s="282"/>
      <c r="P156" s="282"/>
      <c r="Q156" s="282"/>
      <c r="R156" s="282"/>
      <c r="S156" s="282"/>
      <c r="T156" s="283"/>
    </row>
    <row r="157" spans="12:20" x14ac:dyDescent="0.4">
      <c r="L157" s="281"/>
      <c r="M157" s="282"/>
      <c r="N157" s="282"/>
      <c r="O157" s="282"/>
      <c r="P157" s="282"/>
      <c r="Q157" s="282"/>
      <c r="R157" s="282"/>
      <c r="S157" s="282"/>
      <c r="T157" s="283"/>
    </row>
    <row r="158" spans="12:20" x14ac:dyDescent="0.4">
      <c r="L158" s="281"/>
      <c r="M158" s="282"/>
      <c r="N158" s="282"/>
      <c r="O158" s="282"/>
      <c r="P158" s="282"/>
      <c r="Q158" s="282"/>
      <c r="R158" s="282"/>
      <c r="S158" s="282"/>
      <c r="T158" s="283"/>
    </row>
    <row r="159" spans="12:20" x14ac:dyDescent="0.4">
      <c r="L159" s="281"/>
      <c r="M159" s="282"/>
      <c r="N159" s="282"/>
      <c r="O159" s="282"/>
      <c r="P159" s="282"/>
      <c r="Q159" s="282"/>
      <c r="R159" s="282"/>
      <c r="S159" s="282"/>
      <c r="T159" s="283"/>
    </row>
    <row r="160" spans="12:20" x14ac:dyDescent="0.4">
      <c r="L160" s="281"/>
      <c r="M160" s="282"/>
      <c r="N160" s="282"/>
      <c r="O160" s="282"/>
      <c r="P160" s="282"/>
      <c r="Q160" s="282"/>
      <c r="R160" s="282"/>
      <c r="S160" s="282"/>
      <c r="T160" s="283"/>
    </row>
    <row r="161" spans="12:20" x14ac:dyDescent="0.4">
      <c r="L161" s="281"/>
      <c r="M161" s="282"/>
      <c r="N161" s="282"/>
      <c r="O161" s="282"/>
      <c r="P161" s="282"/>
      <c r="Q161" s="282"/>
      <c r="R161" s="282"/>
      <c r="S161" s="282"/>
      <c r="T161" s="283"/>
    </row>
    <row r="162" spans="12:20" x14ac:dyDescent="0.4">
      <c r="L162" s="281"/>
      <c r="M162" s="282"/>
      <c r="N162" s="282"/>
      <c r="O162" s="282"/>
      <c r="P162" s="282"/>
      <c r="Q162" s="282"/>
      <c r="R162" s="282"/>
      <c r="S162" s="282"/>
      <c r="T162" s="283"/>
    </row>
    <row r="163" spans="12:20" x14ac:dyDescent="0.4">
      <c r="L163" s="281"/>
      <c r="M163" s="282"/>
      <c r="N163" s="282"/>
      <c r="O163" s="282"/>
      <c r="P163" s="282"/>
      <c r="Q163" s="282"/>
      <c r="R163" s="282"/>
      <c r="S163" s="282"/>
      <c r="T163" s="283"/>
    </row>
    <row r="164" spans="12:20" x14ac:dyDescent="0.4">
      <c r="L164" s="281"/>
      <c r="M164" s="282"/>
      <c r="N164" s="282"/>
      <c r="O164" s="282"/>
      <c r="P164" s="282"/>
      <c r="Q164" s="282"/>
      <c r="R164" s="282"/>
      <c r="S164" s="282"/>
      <c r="T164" s="283"/>
    </row>
    <row r="165" spans="12:20" x14ac:dyDescent="0.4">
      <c r="L165" s="281"/>
      <c r="M165" s="282"/>
      <c r="N165" s="282"/>
      <c r="O165" s="282"/>
      <c r="P165" s="282"/>
      <c r="Q165" s="282"/>
      <c r="R165" s="282"/>
      <c r="S165" s="282"/>
      <c r="T165" s="283"/>
    </row>
    <row r="166" spans="12:20" x14ac:dyDescent="0.4">
      <c r="L166" s="281"/>
      <c r="M166" s="282"/>
      <c r="N166" s="282"/>
      <c r="O166" s="282"/>
      <c r="P166" s="282"/>
      <c r="Q166" s="282"/>
      <c r="R166" s="282"/>
      <c r="S166" s="282"/>
      <c r="T166" s="283"/>
    </row>
    <row r="167" spans="12:20" x14ac:dyDescent="0.4">
      <c r="L167" s="281"/>
      <c r="M167" s="282"/>
      <c r="N167" s="282"/>
      <c r="O167" s="282"/>
      <c r="P167" s="282"/>
      <c r="Q167" s="282"/>
      <c r="R167" s="282"/>
      <c r="S167" s="282"/>
      <c r="T167" s="283"/>
    </row>
    <row r="168" spans="12:20" x14ac:dyDescent="0.4">
      <c r="L168" s="281"/>
      <c r="M168" s="282"/>
      <c r="N168" s="282"/>
      <c r="O168" s="282"/>
      <c r="P168" s="282"/>
      <c r="Q168" s="282"/>
      <c r="R168" s="282"/>
      <c r="S168" s="282"/>
      <c r="T168" s="283"/>
    </row>
    <row r="169" spans="12:20" x14ac:dyDescent="0.4">
      <c r="L169" s="281"/>
      <c r="M169" s="282"/>
      <c r="N169" s="282"/>
      <c r="O169" s="282"/>
      <c r="P169" s="282"/>
      <c r="Q169" s="282"/>
      <c r="R169" s="282"/>
      <c r="S169" s="282"/>
      <c r="T169" s="283"/>
    </row>
    <row r="170" spans="12:20" x14ac:dyDescent="0.4">
      <c r="L170" s="281"/>
      <c r="M170" s="282"/>
      <c r="N170" s="282"/>
      <c r="O170" s="282"/>
      <c r="P170" s="282"/>
      <c r="Q170" s="282"/>
      <c r="R170" s="282"/>
      <c r="S170" s="282"/>
      <c r="T170" s="283"/>
    </row>
    <row r="171" spans="12:20" x14ac:dyDescent="0.4">
      <c r="L171" s="281"/>
      <c r="M171" s="282"/>
      <c r="N171" s="282"/>
      <c r="O171" s="282"/>
      <c r="P171" s="282"/>
      <c r="Q171" s="282"/>
      <c r="R171" s="282"/>
      <c r="S171" s="282"/>
      <c r="T171" s="283"/>
    </row>
    <row r="172" spans="12:20" x14ac:dyDescent="0.4">
      <c r="L172" s="281"/>
      <c r="M172" s="282"/>
      <c r="N172" s="282"/>
      <c r="O172" s="282"/>
      <c r="P172" s="282"/>
      <c r="Q172" s="282"/>
      <c r="R172" s="282"/>
      <c r="S172" s="282"/>
      <c r="T172" s="283"/>
    </row>
    <row r="173" spans="12:20" x14ac:dyDescent="0.4">
      <c r="L173" s="281"/>
      <c r="M173" s="282"/>
      <c r="N173" s="282"/>
      <c r="O173" s="282"/>
      <c r="P173" s="282"/>
      <c r="Q173" s="282"/>
      <c r="R173" s="282"/>
      <c r="S173" s="282"/>
      <c r="T173" s="283"/>
    </row>
    <row r="174" spans="12:20" x14ac:dyDescent="0.4">
      <c r="L174" s="281"/>
      <c r="M174" s="282"/>
      <c r="N174" s="282"/>
      <c r="O174" s="282"/>
      <c r="P174" s="282"/>
      <c r="Q174" s="282"/>
      <c r="R174" s="282"/>
      <c r="S174" s="282"/>
      <c r="T174" s="283"/>
    </row>
    <row r="175" spans="12:20" x14ac:dyDescent="0.4">
      <c r="L175" s="281"/>
      <c r="M175" s="282"/>
      <c r="N175" s="282"/>
      <c r="O175" s="282"/>
      <c r="P175" s="282"/>
      <c r="Q175" s="282"/>
      <c r="R175" s="282"/>
      <c r="S175" s="282"/>
      <c r="T175" s="283"/>
    </row>
    <row r="176" spans="12:20" x14ac:dyDescent="0.4">
      <c r="L176" s="281"/>
      <c r="M176" s="282"/>
      <c r="N176" s="282"/>
      <c r="O176" s="282"/>
      <c r="P176" s="282"/>
      <c r="Q176" s="282"/>
      <c r="R176" s="282"/>
      <c r="S176" s="282"/>
      <c r="T176" s="283"/>
    </row>
    <row r="177" spans="12:20" x14ac:dyDescent="0.4">
      <c r="L177" s="281"/>
      <c r="M177" s="282"/>
      <c r="N177" s="282"/>
      <c r="O177" s="282"/>
      <c r="P177" s="282"/>
      <c r="Q177" s="282"/>
      <c r="R177" s="282"/>
      <c r="S177" s="282"/>
      <c r="T177" s="283"/>
    </row>
    <row r="178" spans="12:20" x14ac:dyDescent="0.4">
      <c r="L178" s="281"/>
      <c r="M178" s="282"/>
      <c r="N178" s="282"/>
      <c r="O178" s="282"/>
      <c r="P178" s="282"/>
      <c r="Q178" s="282"/>
      <c r="R178" s="282"/>
      <c r="S178" s="282"/>
      <c r="T178" s="283"/>
    </row>
    <row r="179" spans="12:20" x14ac:dyDescent="0.4">
      <c r="L179" s="281"/>
      <c r="M179" s="282"/>
      <c r="N179" s="282"/>
      <c r="O179" s="282"/>
      <c r="P179" s="282"/>
      <c r="Q179" s="282"/>
      <c r="R179" s="282"/>
      <c r="S179" s="282"/>
      <c r="T179" s="283"/>
    </row>
    <row r="180" spans="12:20" x14ac:dyDescent="0.4">
      <c r="L180" s="281"/>
      <c r="M180" s="282"/>
      <c r="N180" s="282"/>
      <c r="O180" s="282"/>
      <c r="P180" s="282"/>
      <c r="Q180" s="282"/>
      <c r="R180" s="282"/>
      <c r="S180" s="282"/>
      <c r="T180" s="283"/>
    </row>
    <row r="181" spans="12:20" x14ac:dyDescent="0.4">
      <c r="L181" s="281"/>
      <c r="M181" s="282"/>
      <c r="N181" s="282"/>
      <c r="O181" s="282"/>
      <c r="P181" s="282"/>
      <c r="Q181" s="282"/>
      <c r="R181" s="282"/>
      <c r="S181" s="282"/>
      <c r="T181" s="283"/>
    </row>
    <row r="182" spans="12:20" x14ac:dyDescent="0.4">
      <c r="L182" s="281"/>
      <c r="M182" s="282"/>
      <c r="N182" s="282"/>
      <c r="O182" s="282"/>
      <c r="P182" s="282"/>
      <c r="Q182" s="282"/>
      <c r="R182" s="282"/>
      <c r="S182" s="282"/>
      <c r="T182" s="283"/>
    </row>
    <row r="183" spans="12:20" x14ac:dyDescent="0.4">
      <c r="L183" s="281"/>
      <c r="M183" s="282"/>
      <c r="N183" s="282"/>
      <c r="O183" s="282"/>
      <c r="P183" s="282"/>
      <c r="Q183" s="282"/>
      <c r="R183" s="282"/>
      <c r="S183" s="282"/>
      <c r="T183" s="283"/>
    </row>
    <row r="184" spans="12:20" x14ac:dyDescent="0.4">
      <c r="L184" s="281"/>
      <c r="M184" s="282"/>
      <c r="N184" s="282"/>
      <c r="O184" s="282"/>
      <c r="P184" s="282"/>
      <c r="Q184" s="282"/>
      <c r="R184" s="282"/>
      <c r="S184" s="282"/>
      <c r="T184" s="283"/>
    </row>
    <row r="185" spans="12:20" x14ac:dyDescent="0.4">
      <c r="L185" s="281"/>
      <c r="M185" s="282"/>
      <c r="N185" s="282"/>
      <c r="O185" s="282"/>
      <c r="P185" s="282"/>
      <c r="Q185" s="282"/>
      <c r="R185" s="282"/>
      <c r="S185" s="282"/>
      <c r="T185" s="283"/>
    </row>
    <row r="186" spans="12:20" x14ac:dyDescent="0.4">
      <c r="L186" s="281"/>
      <c r="M186" s="282"/>
      <c r="N186" s="282"/>
      <c r="O186" s="282"/>
      <c r="P186" s="282"/>
      <c r="Q186" s="282"/>
      <c r="R186" s="282"/>
      <c r="S186" s="282"/>
      <c r="T186" s="283"/>
    </row>
    <row r="187" spans="12:20" x14ac:dyDescent="0.4">
      <c r="L187" s="281"/>
      <c r="M187" s="282"/>
      <c r="N187" s="282"/>
      <c r="O187" s="282"/>
      <c r="P187" s="282"/>
      <c r="Q187" s="282"/>
      <c r="R187" s="282"/>
      <c r="S187" s="282"/>
      <c r="T187" s="283"/>
    </row>
    <row r="188" spans="12:20" x14ac:dyDescent="0.4">
      <c r="L188" s="281"/>
      <c r="M188" s="282"/>
      <c r="N188" s="282"/>
      <c r="O188" s="282"/>
      <c r="P188" s="282"/>
      <c r="Q188" s="282"/>
      <c r="R188" s="282"/>
      <c r="S188" s="282"/>
      <c r="T188" s="283"/>
    </row>
    <row r="189" spans="12:20" x14ac:dyDescent="0.4">
      <c r="L189" s="281"/>
      <c r="M189" s="282"/>
      <c r="N189" s="282"/>
      <c r="O189" s="282"/>
      <c r="P189" s="282"/>
      <c r="Q189" s="282"/>
      <c r="R189" s="282"/>
      <c r="S189" s="282"/>
      <c r="T189" s="283"/>
    </row>
    <row r="190" spans="12:20" x14ac:dyDescent="0.4">
      <c r="L190" s="281"/>
      <c r="M190" s="282"/>
      <c r="N190" s="282"/>
      <c r="O190" s="282"/>
      <c r="P190" s="282"/>
      <c r="Q190" s="282"/>
      <c r="R190" s="282"/>
      <c r="S190" s="282"/>
      <c r="T190" s="283"/>
    </row>
    <row r="191" spans="12:20" x14ac:dyDescent="0.4">
      <c r="L191" s="281"/>
      <c r="M191" s="282"/>
      <c r="N191" s="282"/>
      <c r="O191" s="282"/>
      <c r="P191" s="282"/>
      <c r="Q191" s="282"/>
      <c r="R191" s="282"/>
      <c r="S191" s="282"/>
      <c r="T191" s="283"/>
    </row>
    <row r="192" spans="12:20" x14ac:dyDescent="0.4">
      <c r="L192" s="281"/>
      <c r="M192" s="282"/>
      <c r="N192" s="282"/>
      <c r="O192" s="282"/>
      <c r="P192" s="282"/>
      <c r="Q192" s="282"/>
      <c r="R192" s="282"/>
      <c r="S192" s="282"/>
      <c r="T192" s="283"/>
    </row>
    <row r="193" spans="12:20" x14ac:dyDescent="0.4">
      <c r="L193" s="281"/>
      <c r="M193" s="282"/>
      <c r="N193" s="282"/>
      <c r="O193" s="282"/>
      <c r="P193" s="282"/>
      <c r="Q193" s="282"/>
      <c r="R193" s="282"/>
      <c r="S193" s="282"/>
      <c r="T193" s="283"/>
    </row>
    <row r="194" spans="12:20" x14ac:dyDescent="0.4">
      <c r="L194" s="281"/>
      <c r="M194" s="282"/>
      <c r="N194" s="282"/>
      <c r="O194" s="282"/>
      <c r="P194" s="282"/>
      <c r="Q194" s="282"/>
      <c r="R194" s="282"/>
      <c r="S194" s="282"/>
      <c r="T194" s="283"/>
    </row>
    <row r="195" spans="12:20" x14ac:dyDescent="0.4">
      <c r="L195" s="281"/>
      <c r="M195" s="282"/>
      <c r="N195" s="282"/>
      <c r="O195" s="282"/>
      <c r="P195" s="282"/>
      <c r="Q195" s="282"/>
      <c r="R195" s="282"/>
      <c r="S195" s="282"/>
      <c r="T195" s="283"/>
    </row>
    <row r="196" spans="12:20" x14ac:dyDescent="0.4">
      <c r="L196" s="281"/>
      <c r="M196" s="282"/>
      <c r="N196" s="282"/>
      <c r="O196" s="282"/>
      <c r="P196" s="282"/>
      <c r="Q196" s="282"/>
      <c r="R196" s="282"/>
      <c r="S196" s="282"/>
      <c r="T196" s="283"/>
    </row>
    <row r="197" spans="12:20" x14ac:dyDescent="0.4">
      <c r="L197" s="281"/>
      <c r="M197" s="282"/>
      <c r="N197" s="282"/>
      <c r="O197" s="282"/>
      <c r="P197" s="282"/>
      <c r="Q197" s="282"/>
      <c r="R197" s="282"/>
      <c r="S197" s="282"/>
      <c r="T197" s="283"/>
    </row>
    <row r="198" spans="12:20" x14ac:dyDescent="0.4">
      <c r="L198" s="281"/>
      <c r="M198" s="282"/>
      <c r="N198" s="282"/>
      <c r="O198" s="282"/>
      <c r="P198" s="282"/>
      <c r="Q198" s="282"/>
      <c r="R198" s="282"/>
      <c r="S198" s="282"/>
      <c r="T198" s="283"/>
    </row>
    <row r="199" spans="12:20" x14ac:dyDescent="0.4">
      <c r="L199" s="281"/>
      <c r="M199" s="282"/>
      <c r="N199" s="282"/>
      <c r="O199" s="282"/>
      <c r="P199" s="282"/>
      <c r="Q199" s="282"/>
      <c r="R199" s="282"/>
      <c r="S199" s="282"/>
      <c r="T199" s="283"/>
    </row>
    <row r="200" spans="12:20" x14ac:dyDescent="0.4">
      <c r="L200" s="281"/>
      <c r="M200" s="282"/>
      <c r="N200" s="282"/>
      <c r="O200" s="282"/>
      <c r="P200" s="282"/>
      <c r="Q200" s="282"/>
      <c r="R200" s="282"/>
      <c r="S200" s="282"/>
      <c r="T200" s="283"/>
    </row>
    <row r="201" spans="12:20" x14ac:dyDescent="0.4">
      <c r="L201" s="281"/>
      <c r="M201" s="282"/>
      <c r="N201" s="282"/>
      <c r="O201" s="282"/>
      <c r="P201" s="282"/>
      <c r="Q201" s="282"/>
      <c r="R201" s="282"/>
      <c r="S201" s="282"/>
      <c r="T201" s="283"/>
    </row>
    <row r="202" spans="12:20" x14ac:dyDescent="0.4">
      <c r="L202" s="281"/>
      <c r="M202" s="282"/>
      <c r="N202" s="282"/>
      <c r="O202" s="282"/>
      <c r="P202" s="282"/>
      <c r="Q202" s="282"/>
      <c r="R202" s="282"/>
      <c r="S202" s="282"/>
      <c r="T202" s="283"/>
    </row>
    <row r="203" spans="12:20" x14ac:dyDescent="0.4">
      <c r="L203" s="281"/>
      <c r="M203" s="282"/>
      <c r="N203" s="282"/>
      <c r="O203" s="282"/>
      <c r="P203" s="282"/>
      <c r="Q203" s="282"/>
      <c r="R203" s="282"/>
      <c r="S203" s="282"/>
      <c r="T203" s="283"/>
    </row>
    <row r="204" spans="12:20" x14ac:dyDescent="0.4">
      <c r="L204" s="281"/>
      <c r="M204" s="282"/>
      <c r="N204" s="282"/>
      <c r="O204" s="282"/>
      <c r="P204" s="282"/>
      <c r="Q204" s="282"/>
      <c r="R204" s="282"/>
      <c r="S204" s="282"/>
      <c r="T204" s="283"/>
    </row>
    <row r="205" spans="12:20" x14ac:dyDescent="0.4">
      <c r="L205" s="281"/>
      <c r="M205" s="282"/>
      <c r="N205" s="282"/>
      <c r="O205" s="282"/>
      <c r="P205" s="282"/>
      <c r="Q205" s="282"/>
      <c r="R205" s="282"/>
      <c r="S205" s="282"/>
      <c r="T205" s="283"/>
    </row>
    <row r="206" spans="12:20" x14ac:dyDescent="0.4">
      <c r="L206" s="281"/>
      <c r="M206" s="282"/>
      <c r="N206" s="282"/>
      <c r="O206" s="282"/>
      <c r="P206" s="282"/>
      <c r="Q206" s="282"/>
      <c r="R206" s="282"/>
      <c r="S206" s="282"/>
      <c r="T206" s="283"/>
    </row>
    <row r="207" spans="12:20" x14ac:dyDescent="0.4">
      <c r="L207" s="281"/>
      <c r="M207" s="282"/>
      <c r="N207" s="282"/>
      <c r="O207" s="282"/>
      <c r="P207" s="282"/>
      <c r="Q207" s="282"/>
      <c r="R207" s="282"/>
      <c r="S207" s="282"/>
      <c r="T207" s="283"/>
    </row>
    <row r="208" spans="12:20" x14ac:dyDescent="0.4">
      <c r="L208" s="281"/>
      <c r="M208" s="282"/>
      <c r="N208" s="282"/>
      <c r="O208" s="282"/>
      <c r="P208" s="282"/>
      <c r="Q208" s="282"/>
      <c r="R208" s="282"/>
      <c r="S208" s="282"/>
      <c r="T208" s="283"/>
    </row>
    <row r="209" spans="12:20" x14ac:dyDescent="0.4">
      <c r="L209" s="281"/>
      <c r="M209" s="282"/>
      <c r="N209" s="282"/>
      <c r="O209" s="282"/>
      <c r="P209" s="282"/>
      <c r="Q209" s="282"/>
      <c r="R209" s="282"/>
      <c r="S209" s="282"/>
      <c r="T209" s="283"/>
    </row>
    <row r="210" spans="12:20" x14ac:dyDescent="0.4">
      <c r="L210" s="281"/>
      <c r="M210" s="282"/>
      <c r="N210" s="282"/>
      <c r="O210" s="282"/>
      <c r="P210" s="282"/>
      <c r="Q210" s="282"/>
      <c r="R210" s="282"/>
      <c r="S210" s="282"/>
      <c r="T210" s="283"/>
    </row>
    <row r="211" spans="12:20" x14ac:dyDescent="0.4">
      <c r="L211" s="281"/>
      <c r="M211" s="282"/>
      <c r="N211" s="282"/>
      <c r="O211" s="282"/>
      <c r="P211" s="282"/>
      <c r="Q211" s="282"/>
      <c r="R211" s="282"/>
      <c r="S211" s="282"/>
      <c r="T211" s="283"/>
    </row>
    <row r="212" spans="12:20" x14ac:dyDescent="0.4">
      <c r="L212" s="281"/>
      <c r="M212" s="282"/>
      <c r="N212" s="282"/>
      <c r="O212" s="282"/>
      <c r="P212" s="282"/>
      <c r="Q212" s="282"/>
      <c r="R212" s="282"/>
      <c r="S212" s="282"/>
      <c r="T212" s="283"/>
    </row>
    <row r="213" spans="12:20" x14ac:dyDescent="0.4">
      <c r="L213" s="281"/>
      <c r="M213" s="282"/>
      <c r="N213" s="282"/>
      <c r="O213" s="282"/>
      <c r="P213" s="282"/>
      <c r="Q213" s="282"/>
      <c r="R213" s="282"/>
      <c r="S213" s="282"/>
      <c r="T213" s="283"/>
    </row>
    <row r="214" spans="12:20" x14ac:dyDescent="0.4">
      <c r="L214" s="281"/>
      <c r="M214" s="282"/>
      <c r="N214" s="282"/>
      <c r="O214" s="282"/>
      <c r="P214" s="282"/>
      <c r="Q214" s="282"/>
      <c r="R214" s="282"/>
      <c r="S214" s="282"/>
      <c r="T214" s="283"/>
    </row>
    <row r="215" spans="12:20" x14ac:dyDescent="0.4">
      <c r="L215" s="281"/>
      <c r="M215" s="282"/>
      <c r="N215" s="282"/>
      <c r="O215" s="282"/>
      <c r="P215" s="282"/>
      <c r="Q215" s="282"/>
      <c r="R215" s="282"/>
      <c r="S215" s="282"/>
      <c r="T215" s="283"/>
    </row>
    <row r="216" spans="12:20" x14ac:dyDescent="0.4">
      <c r="L216" s="281"/>
      <c r="M216" s="282"/>
      <c r="N216" s="282"/>
      <c r="O216" s="282"/>
      <c r="P216" s="282"/>
      <c r="Q216" s="282"/>
      <c r="R216" s="282"/>
      <c r="S216" s="282"/>
      <c r="T216" s="283"/>
    </row>
    <row r="217" spans="12:20" x14ac:dyDescent="0.4">
      <c r="L217" s="281"/>
      <c r="M217" s="282"/>
      <c r="N217" s="282"/>
      <c r="O217" s="282"/>
      <c r="P217" s="282"/>
      <c r="Q217" s="282"/>
      <c r="R217" s="282"/>
      <c r="S217" s="282"/>
      <c r="T217" s="283"/>
    </row>
    <row r="218" spans="12:20" x14ac:dyDescent="0.4">
      <c r="L218" s="281"/>
      <c r="M218" s="282"/>
      <c r="N218" s="282"/>
      <c r="O218" s="282"/>
      <c r="P218" s="282"/>
      <c r="Q218" s="282"/>
      <c r="R218" s="282"/>
      <c r="S218" s="282"/>
      <c r="T218" s="283"/>
    </row>
    <row r="219" spans="12:20" x14ac:dyDescent="0.4">
      <c r="L219" s="281"/>
      <c r="M219" s="282"/>
      <c r="N219" s="282"/>
      <c r="O219" s="282"/>
      <c r="P219" s="282"/>
      <c r="Q219" s="282"/>
      <c r="R219" s="282"/>
      <c r="S219" s="282"/>
      <c r="T219" s="283"/>
    </row>
    <row r="220" spans="12:20" x14ac:dyDescent="0.4">
      <c r="L220" s="281"/>
      <c r="M220" s="282"/>
      <c r="N220" s="282"/>
      <c r="O220" s="282"/>
      <c r="P220" s="282"/>
      <c r="Q220" s="282"/>
      <c r="R220" s="282"/>
      <c r="S220" s="282"/>
      <c r="T220" s="283"/>
    </row>
    <row r="221" spans="12:20" x14ac:dyDescent="0.4">
      <c r="L221" s="281"/>
      <c r="M221" s="282"/>
      <c r="N221" s="282"/>
      <c r="O221" s="282"/>
      <c r="P221" s="282"/>
      <c r="Q221" s="282"/>
      <c r="R221" s="282"/>
      <c r="S221" s="282"/>
      <c r="T221" s="283"/>
    </row>
    <row r="222" spans="12:20" x14ac:dyDescent="0.4">
      <c r="L222" s="281"/>
      <c r="M222" s="282"/>
      <c r="N222" s="282"/>
      <c r="O222" s="282"/>
      <c r="P222" s="282"/>
      <c r="Q222" s="282"/>
      <c r="R222" s="282"/>
      <c r="S222" s="282"/>
      <c r="T222" s="283"/>
    </row>
    <row r="223" spans="12:20" x14ac:dyDescent="0.4">
      <c r="L223" s="281"/>
      <c r="M223" s="282"/>
      <c r="N223" s="282"/>
      <c r="O223" s="282"/>
      <c r="P223" s="282"/>
      <c r="Q223" s="282"/>
      <c r="R223" s="282"/>
      <c r="S223" s="282"/>
      <c r="T223" s="283"/>
    </row>
    <row r="224" spans="12:20" x14ac:dyDescent="0.4">
      <c r="L224" s="281"/>
      <c r="M224" s="282"/>
      <c r="N224" s="282"/>
      <c r="O224" s="282"/>
      <c r="P224" s="282"/>
      <c r="Q224" s="282"/>
      <c r="R224" s="282"/>
      <c r="S224" s="282"/>
      <c r="T224" s="283"/>
    </row>
    <row r="225" spans="12:20" x14ac:dyDescent="0.4">
      <c r="L225" s="281"/>
      <c r="M225" s="282"/>
      <c r="N225" s="282"/>
      <c r="O225" s="282"/>
      <c r="P225" s="282"/>
      <c r="Q225" s="282"/>
      <c r="R225" s="282"/>
      <c r="S225" s="282"/>
      <c r="T225" s="283"/>
    </row>
    <row r="226" spans="12:20" x14ac:dyDescent="0.4">
      <c r="L226" s="281"/>
      <c r="M226" s="282"/>
      <c r="N226" s="282"/>
      <c r="O226" s="282"/>
      <c r="P226" s="282"/>
      <c r="Q226" s="282"/>
      <c r="R226" s="282"/>
      <c r="S226" s="282"/>
      <c r="T226" s="283"/>
    </row>
    <row r="227" spans="12:20" x14ac:dyDescent="0.4">
      <c r="L227" s="281"/>
      <c r="M227" s="282"/>
      <c r="N227" s="282"/>
      <c r="O227" s="282"/>
      <c r="P227" s="282"/>
      <c r="Q227" s="282"/>
      <c r="R227" s="282"/>
      <c r="S227" s="282"/>
      <c r="T227" s="283"/>
    </row>
    <row r="228" spans="12:20" x14ac:dyDescent="0.4">
      <c r="L228" s="281"/>
      <c r="M228" s="282"/>
      <c r="N228" s="282"/>
      <c r="O228" s="282"/>
      <c r="P228" s="282"/>
      <c r="Q228" s="282"/>
      <c r="R228" s="282"/>
      <c r="S228" s="282"/>
      <c r="T228" s="283"/>
    </row>
    <row r="229" spans="12:20" x14ac:dyDescent="0.4">
      <c r="L229" s="281"/>
      <c r="M229" s="282"/>
      <c r="N229" s="282"/>
      <c r="O229" s="282"/>
      <c r="P229" s="282"/>
      <c r="Q229" s="282"/>
      <c r="R229" s="282"/>
      <c r="S229" s="282"/>
      <c r="T229" s="283"/>
    </row>
    <row r="230" spans="12:20" x14ac:dyDescent="0.4">
      <c r="L230" s="281"/>
      <c r="M230" s="282"/>
      <c r="N230" s="282"/>
      <c r="O230" s="282"/>
      <c r="P230" s="282"/>
      <c r="Q230" s="282"/>
      <c r="R230" s="282"/>
      <c r="S230" s="282"/>
      <c r="T230" s="283"/>
    </row>
    <row r="231" spans="12:20" x14ac:dyDescent="0.4">
      <c r="L231" s="281"/>
      <c r="M231" s="282"/>
      <c r="N231" s="282"/>
      <c r="O231" s="282"/>
      <c r="P231" s="282"/>
      <c r="Q231" s="282"/>
      <c r="R231" s="282"/>
      <c r="S231" s="282"/>
      <c r="T231" s="283"/>
    </row>
    <row r="232" spans="12:20" x14ac:dyDescent="0.4">
      <c r="L232" s="281"/>
      <c r="M232" s="282"/>
      <c r="N232" s="282"/>
      <c r="O232" s="282"/>
      <c r="P232" s="282"/>
      <c r="Q232" s="282"/>
      <c r="R232" s="282"/>
      <c r="S232" s="282"/>
      <c r="T232" s="283"/>
    </row>
    <row r="233" spans="12:20" x14ac:dyDescent="0.4">
      <c r="L233" s="281"/>
      <c r="M233" s="282"/>
      <c r="N233" s="282"/>
      <c r="O233" s="282"/>
      <c r="P233" s="282"/>
      <c r="Q233" s="282"/>
      <c r="R233" s="282"/>
      <c r="S233" s="282"/>
      <c r="T233" s="283"/>
    </row>
    <row r="234" spans="12:20" x14ac:dyDescent="0.4">
      <c r="L234" s="281"/>
      <c r="M234" s="282"/>
      <c r="N234" s="282"/>
      <c r="O234" s="282"/>
      <c r="P234" s="282"/>
      <c r="Q234" s="282"/>
      <c r="R234" s="282"/>
      <c r="S234" s="282"/>
      <c r="T234" s="283"/>
    </row>
    <row r="235" spans="12:20" x14ac:dyDescent="0.4">
      <c r="L235" s="281"/>
      <c r="M235" s="282"/>
      <c r="N235" s="282"/>
      <c r="O235" s="282"/>
      <c r="P235" s="282"/>
      <c r="Q235" s="282"/>
      <c r="R235" s="282"/>
      <c r="S235" s="282"/>
      <c r="T235" s="283"/>
    </row>
    <row r="236" spans="12:20" x14ac:dyDescent="0.4">
      <c r="L236" s="281"/>
      <c r="M236" s="282"/>
      <c r="N236" s="282"/>
      <c r="O236" s="282"/>
      <c r="P236" s="282"/>
      <c r="Q236" s="282"/>
      <c r="R236" s="282"/>
      <c r="S236" s="282"/>
      <c r="T236" s="283"/>
    </row>
    <row r="237" spans="12:20" x14ac:dyDescent="0.4">
      <c r="L237" s="281"/>
      <c r="M237" s="282"/>
      <c r="N237" s="282"/>
      <c r="O237" s="282"/>
      <c r="P237" s="282"/>
      <c r="Q237" s="282"/>
      <c r="R237" s="282"/>
      <c r="S237" s="282"/>
      <c r="T237" s="283"/>
    </row>
    <row r="238" spans="12:20" x14ac:dyDescent="0.4">
      <c r="L238" s="281"/>
      <c r="M238" s="282"/>
      <c r="N238" s="282"/>
      <c r="O238" s="282"/>
      <c r="P238" s="282"/>
      <c r="Q238" s="282"/>
      <c r="R238" s="282"/>
      <c r="S238" s="282"/>
      <c r="T238" s="283"/>
    </row>
    <row r="239" spans="12:20" x14ac:dyDescent="0.4">
      <c r="L239" s="281"/>
      <c r="M239" s="282"/>
      <c r="N239" s="282"/>
      <c r="O239" s="282"/>
      <c r="P239" s="282"/>
      <c r="Q239" s="282"/>
      <c r="R239" s="282"/>
      <c r="S239" s="282"/>
      <c r="T239" s="283"/>
    </row>
    <row r="240" spans="12:20" x14ac:dyDescent="0.4">
      <c r="L240" s="281"/>
      <c r="M240" s="282"/>
      <c r="N240" s="282"/>
      <c r="O240" s="282"/>
      <c r="P240" s="282"/>
      <c r="Q240" s="282"/>
      <c r="R240" s="282"/>
      <c r="S240" s="282"/>
      <c r="T240" s="283"/>
    </row>
    <row r="241" spans="12:20" x14ac:dyDescent="0.4">
      <c r="L241" s="281"/>
      <c r="M241" s="282"/>
      <c r="N241" s="282"/>
      <c r="O241" s="282"/>
      <c r="P241" s="282"/>
      <c r="Q241" s="282"/>
      <c r="R241" s="282"/>
      <c r="S241" s="282"/>
      <c r="T241" s="283"/>
    </row>
    <row r="242" spans="12:20" x14ac:dyDescent="0.4">
      <c r="L242" s="281"/>
      <c r="M242" s="282"/>
      <c r="N242" s="282"/>
      <c r="O242" s="282"/>
      <c r="P242" s="282"/>
      <c r="Q242" s="282"/>
      <c r="R242" s="282"/>
      <c r="S242" s="282"/>
      <c r="T242" s="283"/>
    </row>
    <row r="243" spans="12:20" x14ac:dyDescent="0.4">
      <c r="L243" s="281"/>
      <c r="M243" s="282"/>
      <c r="N243" s="282"/>
      <c r="O243" s="282"/>
      <c r="P243" s="282"/>
      <c r="Q243" s="282"/>
      <c r="R243" s="282"/>
      <c r="S243" s="282"/>
      <c r="T243" s="283"/>
    </row>
    <row r="244" spans="12:20" x14ac:dyDescent="0.4">
      <c r="L244" s="281"/>
      <c r="M244" s="282"/>
      <c r="N244" s="282"/>
      <c r="O244" s="282"/>
      <c r="P244" s="282"/>
      <c r="Q244" s="282"/>
      <c r="R244" s="282"/>
      <c r="S244" s="282"/>
      <c r="T244" s="283"/>
    </row>
    <row r="245" spans="12:20" x14ac:dyDescent="0.4">
      <c r="L245" s="281"/>
      <c r="M245" s="282"/>
      <c r="N245" s="282"/>
      <c r="O245" s="282"/>
      <c r="P245" s="282"/>
      <c r="Q245" s="282"/>
      <c r="R245" s="282"/>
      <c r="S245" s="282"/>
      <c r="T245" s="283"/>
    </row>
    <row r="246" spans="12:20" x14ac:dyDescent="0.4">
      <c r="L246" s="281"/>
      <c r="M246" s="282"/>
      <c r="N246" s="282"/>
      <c r="O246" s="282"/>
      <c r="P246" s="282"/>
      <c r="Q246" s="282"/>
      <c r="R246" s="282"/>
      <c r="S246" s="282"/>
      <c r="T246" s="283"/>
    </row>
    <row r="247" spans="12:20" x14ac:dyDescent="0.4">
      <c r="L247" s="281"/>
      <c r="M247" s="282"/>
      <c r="N247" s="282"/>
      <c r="O247" s="282"/>
      <c r="P247" s="282"/>
      <c r="Q247" s="282"/>
      <c r="R247" s="282"/>
      <c r="S247" s="282"/>
      <c r="T247" s="283"/>
    </row>
    <row r="248" spans="12:20" x14ac:dyDescent="0.4">
      <c r="L248" s="281"/>
      <c r="M248" s="282"/>
      <c r="N248" s="282"/>
      <c r="O248" s="282"/>
      <c r="P248" s="282"/>
      <c r="Q248" s="282"/>
      <c r="R248" s="282"/>
      <c r="S248" s="282"/>
      <c r="T248" s="283"/>
    </row>
    <row r="249" spans="12:20" x14ac:dyDescent="0.4">
      <c r="L249" s="281"/>
      <c r="M249" s="282"/>
      <c r="N249" s="282"/>
      <c r="O249" s="282"/>
      <c r="P249" s="282"/>
      <c r="Q249" s="282"/>
      <c r="R249" s="282"/>
      <c r="S249" s="282"/>
      <c r="T249" s="283"/>
    </row>
    <row r="250" spans="12:20" x14ac:dyDescent="0.4">
      <c r="L250" s="281"/>
      <c r="M250" s="282"/>
      <c r="N250" s="282"/>
      <c r="O250" s="282"/>
      <c r="P250" s="282"/>
      <c r="Q250" s="282"/>
      <c r="R250" s="282"/>
      <c r="S250" s="282"/>
      <c r="T250" s="283"/>
    </row>
    <row r="251" spans="12:20" x14ac:dyDescent="0.4">
      <c r="L251" s="281"/>
      <c r="M251" s="282"/>
      <c r="N251" s="282"/>
      <c r="O251" s="282"/>
      <c r="P251" s="282"/>
      <c r="Q251" s="282"/>
      <c r="R251" s="282"/>
      <c r="S251" s="282"/>
      <c r="T251" s="283"/>
    </row>
    <row r="252" spans="12:20" x14ac:dyDescent="0.4">
      <c r="L252" s="281"/>
      <c r="M252" s="282"/>
      <c r="N252" s="282"/>
      <c r="O252" s="282"/>
      <c r="P252" s="282"/>
      <c r="Q252" s="282"/>
      <c r="R252" s="282"/>
      <c r="S252" s="282"/>
      <c r="T252" s="283"/>
    </row>
    <row r="253" spans="12:20" x14ac:dyDescent="0.4">
      <c r="L253" s="281"/>
      <c r="M253" s="282"/>
      <c r="N253" s="282"/>
      <c r="O253" s="282"/>
      <c r="P253" s="282"/>
      <c r="Q253" s="282"/>
      <c r="R253" s="282"/>
      <c r="S253" s="282"/>
      <c r="T253" s="283"/>
    </row>
    <row r="254" spans="12:20" x14ac:dyDescent="0.4">
      <c r="L254" s="281"/>
      <c r="M254" s="282"/>
      <c r="N254" s="282"/>
      <c r="O254" s="282"/>
      <c r="P254" s="282"/>
      <c r="Q254" s="282"/>
      <c r="R254" s="282"/>
      <c r="S254" s="282"/>
      <c r="T254" s="283"/>
    </row>
    <row r="255" spans="12:20" x14ac:dyDescent="0.4">
      <c r="L255" s="281"/>
      <c r="M255" s="282"/>
      <c r="N255" s="282"/>
      <c r="O255" s="282"/>
      <c r="P255" s="282"/>
      <c r="Q255" s="282"/>
      <c r="R255" s="282"/>
      <c r="S255" s="282"/>
      <c r="T255" s="283"/>
    </row>
    <row r="256" spans="12:20" x14ac:dyDescent="0.4">
      <c r="L256" s="281"/>
      <c r="M256" s="282"/>
      <c r="N256" s="282"/>
      <c r="O256" s="282"/>
      <c r="P256" s="282"/>
      <c r="Q256" s="282"/>
      <c r="R256" s="282"/>
      <c r="S256" s="282"/>
      <c r="T256" s="283"/>
    </row>
    <row r="257" spans="12:20" x14ac:dyDescent="0.4">
      <c r="L257" s="281"/>
      <c r="M257" s="282"/>
      <c r="N257" s="282"/>
      <c r="O257" s="282"/>
      <c r="P257" s="282"/>
      <c r="Q257" s="282"/>
      <c r="R257" s="282"/>
      <c r="S257" s="282"/>
      <c r="T257" s="283"/>
    </row>
    <row r="258" spans="12:20" x14ac:dyDescent="0.4">
      <c r="L258" s="281"/>
      <c r="M258" s="282"/>
      <c r="N258" s="282"/>
      <c r="O258" s="282"/>
      <c r="P258" s="282"/>
      <c r="Q258" s="282"/>
      <c r="R258" s="282"/>
      <c r="S258" s="282"/>
      <c r="T258" s="283"/>
    </row>
    <row r="259" spans="12:20" x14ac:dyDescent="0.4">
      <c r="L259" s="281"/>
      <c r="M259" s="282"/>
      <c r="N259" s="282"/>
      <c r="O259" s="282"/>
      <c r="P259" s="282"/>
      <c r="Q259" s="282"/>
      <c r="R259" s="282"/>
      <c r="S259" s="282"/>
      <c r="T259" s="283"/>
    </row>
    <row r="260" spans="12:20" x14ac:dyDescent="0.4">
      <c r="L260" s="281"/>
      <c r="M260" s="282"/>
      <c r="N260" s="282"/>
      <c r="O260" s="282"/>
      <c r="P260" s="282"/>
      <c r="Q260" s="282"/>
      <c r="R260" s="282"/>
      <c r="S260" s="282"/>
      <c r="T260" s="283"/>
    </row>
    <row r="261" spans="12:20" x14ac:dyDescent="0.4">
      <c r="L261" s="281"/>
      <c r="M261" s="282"/>
      <c r="N261" s="282"/>
      <c r="O261" s="282"/>
      <c r="P261" s="282"/>
      <c r="Q261" s="282"/>
      <c r="R261" s="282"/>
      <c r="S261" s="282"/>
      <c r="T261" s="283"/>
    </row>
    <row r="262" spans="12:20" x14ac:dyDescent="0.4">
      <c r="L262" s="281"/>
      <c r="M262" s="282"/>
      <c r="N262" s="282"/>
      <c r="O262" s="282"/>
      <c r="P262" s="282"/>
      <c r="Q262" s="282"/>
      <c r="R262" s="282"/>
      <c r="S262" s="282"/>
      <c r="T262" s="283"/>
    </row>
    <row r="263" spans="12:20" x14ac:dyDescent="0.4">
      <c r="L263" s="281"/>
      <c r="M263" s="282"/>
      <c r="N263" s="282"/>
      <c r="O263" s="282"/>
      <c r="P263" s="282"/>
      <c r="Q263" s="282"/>
      <c r="R263" s="282"/>
      <c r="S263" s="282"/>
      <c r="T263" s="283"/>
    </row>
    <row r="264" spans="12:20" x14ac:dyDescent="0.4">
      <c r="L264" s="281"/>
      <c r="M264" s="282"/>
      <c r="N264" s="282"/>
      <c r="O264" s="282"/>
      <c r="P264" s="282"/>
      <c r="Q264" s="282"/>
      <c r="R264" s="282"/>
      <c r="S264" s="282"/>
      <c r="T264" s="283"/>
    </row>
    <row r="265" spans="12:20" x14ac:dyDescent="0.4">
      <c r="L265" s="281"/>
      <c r="M265" s="282"/>
      <c r="N265" s="282"/>
      <c r="O265" s="282"/>
      <c r="P265" s="282"/>
      <c r="Q265" s="282"/>
      <c r="R265" s="282"/>
      <c r="S265" s="282"/>
      <c r="T265" s="283"/>
    </row>
    <row r="266" spans="12:20" x14ac:dyDescent="0.4">
      <c r="L266" s="281"/>
      <c r="M266" s="282"/>
      <c r="N266" s="282"/>
      <c r="O266" s="282"/>
      <c r="P266" s="282"/>
      <c r="Q266" s="282"/>
      <c r="R266" s="282"/>
      <c r="S266" s="282"/>
      <c r="T266" s="283"/>
    </row>
    <row r="267" spans="12:20" x14ac:dyDescent="0.4">
      <c r="L267" s="281"/>
      <c r="M267" s="282"/>
      <c r="N267" s="282"/>
      <c r="O267" s="282"/>
      <c r="P267" s="282"/>
      <c r="Q267" s="282"/>
      <c r="R267" s="282"/>
      <c r="S267" s="282"/>
      <c r="T267" s="283"/>
    </row>
    <row r="268" spans="12:20" x14ac:dyDescent="0.4">
      <c r="L268" s="281"/>
      <c r="M268" s="282"/>
      <c r="N268" s="282"/>
      <c r="O268" s="282"/>
      <c r="P268" s="282"/>
      <c r="Q268" s="282"/>
      <c r="R268" s="282"/>
      <c r="S268" s="282"/>
      <c r="T268" s="283"/>
    </row>
    <row r="269" spans="12:20" x14ac:dyDescent="0.4">
      <c r="L269" s="281"/>
      <c r="M269" s="282"/>
      <c r="N269" s="282"/>
      <c r="O269" s="282"/>
      <c r="P269" s="282"/>
      <c r="Q269" s="282"/>
      <c r="R269" s="282"/>
      <c r="S269" s="282"/>
      <c r="T269" s="283"/>
    </row>
    <row r="270" spans="12:20" x14ac:dyDescent="0.4">
      <c r="L270" s="281"/>
      <c r="M270" s="282"/>
      <c r="N270" s="282"/>
      <c r="O270" s="282"/>
      <c r="P270" s="282"/>
      <c r="Q270" s="282"/>
      <c r="R270" s="282"/>
      <c r="S270" s="282"/>
      <c r="T270" s="283"/>
    </row>
    <row r="271" spans="12:20" x14ac:dyDescent="0.4">
      <c r="L271" s="281"/>
      <c r="M271" s="282"/>
      <c r="N271" s="282"/>
      <c r="O271" s="282"/>
      <c r="P271" s="282"/>
      <c r="Q271" s="282"/>
      <c r="R271" s="282"/>
      <c r="S271" s="282"/>
      <c r="T271" s="283"/>
    </row>
    <row r="272" spans="12:20" x14ac:dyDescent="0.4">
      <c r="L272" s="281"/>
      <c r="M272" s="282"/>
      <c r="N272" s="282"/>
      <c r="O272" s="282"/>
      <c r="P272" s="282"/>
      <c r="Q272" s="282"/>
      <c r="R272" s="282"/>
      <c r="S272" s="282"/>
      <c r="T272" s="283"/>
    </row>
    <row r="273" spans="12:20" x14ac:dyDescent="0.4">
      <c r="L273" s="281"/>
      <c r="M273" s="282"/>
      <c r="N273" s="282"/>
      <c r="O273" s="282"/>
      <c r="P273" s="282"/>
      <c r="Q273" s="282"/>
      <c r="R273" s="282"/>
      <c r="S273" s="282"/>
      <c r="T273" s="283"/>
    </row>
    <row r="274" spans="12:20" x14ac:dyDescent="0.4">
      <c r="L274" s="281"/>
      <c r="M274" s="282"/>
      <c r="N274" s="282"/>
      <c r="O274" s="282"/>
      <c r="P274" s="282"/>
      <c r="Q274" s="282"/>
      <c r="R274" s="282"/>
      <c r="S274" s="282"/>
      <c r="T274" s="283"/>
    </row>
    <row r="275" spans="12:20" x14ac:dyDescent="0.4">
      <c r="L275" s="281"/>
      <c r="M275" s="282"/>
      <c r="N275" s="282"/>
      <c r="O275" s="282"/>
      <c r="P275" s="282"/>
      <c r="Q275" s="282"/>
      <c r="R275" s="282"/>
      <c r="S275" s="282"/>
      <c r="T275" s="283"/>
    </row>
    <row r="276" spans="12:20" x14ac:dyDescent="0.4">
      <c r="L276" s="281"/>
      <c r="M276" s="282"/>
      <c r="N276" s="282"/>
      <c r="O276" s="282"/>
      <c r="P276" s="282"/>
      <c r="Q276" s="282"/>
      <c r="R276" s="282"/>
      <c r="S276" s="282"/>
      <c r="T276" s="283"/>
    </row>
    <row r="277" spans="12:20" x14ac:dyDescent="0.4">
      <c r="L277" s="281"/>
      <c r="M277" s="282"/>
      <c r="N277" s="282"/>
      <c r="O277" s="282"/>
      <c r="P277" s="282"/>
      <c r="Q277" s="282"/>
      <c r="R277" s="282"/>
      <c r="S277" s="282"/>
      <c r="T277" s="283"/>
    </row>
    <row r="278" spans="12:20" x14ac:dyDescent="0.4">
      <c r="L278" s="281"/>
      <c r="M278" s="282"/>
      <c r="N278" s="282"/>
      <c r="O278" s="282"/>
      <c r="P278" s="282"/>
      <c r="Q278" s="282"/>
      <c r="R278" s="282"/>
      <c r="S278" s="282"/>
      <c r="T278" s="283"/>
    </row>
    <row r="279" spans="12:20" x14ac:dyDescent="0.4">
      <c r="L279" s="281"/>
      <c r="M279" s="282"/>
      <c r="N279" s="282"/>
      <c r="O279" s="282"/>
      <c r="P279" s="282"/>
      <c r="Q279" s="282"/>
      <c r="R279" s="282"/>
      <c r="S279" s="282"/>
      <c r="T279" s="283"/>
    </row>
    <row r="280" spans="12:20" x14ac:dyDescent="0.4">
      <c r="L280" s="281"/>
      <c r="M280" s="282"/>
      <c r="N280" s="282"/>
      <c r="O280" s="282"/>
      <c r="P280" s="282"/>
      <c r="Q280" s="282"/>
      <c r="R280" s="282"/>
      <c r="S280" s="282"/>
      <c r="T280" s="283"/>
    </row>
    <row r="281" spans="12:20" x14ac:dyDescent="0.4">
      <c r="L281" s="281"/>
      <c r="M281" s="282"/>
      <c r="N281" s="282"/>
      <c r="O281" s="282"/>
      <c r="P281" s="282"/>
      <c r="Q281" s="282"/>
      <c r="R281" s="282"/>
      <c r="S281" s="282"/>
      <c r="T281" s="283"/>
    </row>
    <row r="282" spans="12:20" x14ac:dyDescent="0.4">
      <c r="L282" s="281"/>
      <c r="M282" s="282"/>
      <c r="N282" s="282"/>
      <c r="O282" s="282"/>
      <c r="P282" s="282"/>
      <c r="Q282" s="282"/>
      <c r="R282" s="282"/>
      <c r="S282" s="282"/>
      <c r="T282" s="283"/>
    </row>
    <row r="283" spans="12:20" x14ac:dyDescent="0.4">
      <c r="L283" s="281"/>
      <c r="M283" s="282"/>
      <c r="N283" s="282"/>
      <c r="O283" s="282"/>
      <c r="P283" s="282"/>
      <c r="Q283" s="282"/>
      <c r="R283" s="282"/>
      <c r="S283" s="282"/>
      <c r="T283" s="283"/>
    </row>
    <row r="284" spans="12:20" x14ac:dyDescent="0.4">
      <c r="L284" s="281"/>
      <c r="M284" s="282"/>
      <c r="N284" s="282"/>
      <c r="O284" s="282"/>
      <c r="P284" s="282"/>
      <c r="Q284" s="282"/>
      <c r="R284" s="282"/>
      <c r="S284" s="282"/>
      <c r="T284" s="283"/>
    </row>
    <row r="285" spans="12:20" x14ac:dyDescent="0.4">
      <c r="L285" s="281"/>
      <c r="M285" s="282"/>
      <c r="N285" s="282"/>
      <c r="O285" s="282"/>
      <c r="P285" s="282"/>
      <c r="Q285" s="282"/>
      <c r="R285" s="282"/>
      <c r="S285" s="282"/>
      <c r="T285" s="283"/>
    </row>
    <row r="286" spans="12:20" x14ac:dyDescent="0.4">
      <c r="L286" s="281"/>
      <c r="M286" s="282"/>
      <c r="N286" s="282"/>
      <c r="O286" s="282"/>
      <c r="P286" s="282"/>
      <c r="Q286" s="282"/>
      <c r="R286" s="282"/>
      <c r="S286" s="282"/>
      <c r="T286" s="283"/>
    </row>
    <row r="287" spans="12:20" x14ac:dyDescent="0.4">
      <c r="L287" s="281"/>
      <c r="M287" s="282"/>
      <c r="N287" s="282"/>
      <c r="O287" s="282"/>
      <c r="P287" s="282"/>
      <c r="Q287" s="282"/>
      <c r="R287" s="282"/>
      <c r="S287" s="282"/>
      <c r="T287" s="283"/>
    </row>
    <row r="288" spans="12:20" x14ac:dyDescent="0.4">
      <c r="L288" s="281"/>
      <c r="M288" s="282"/>
      <c r="N288" s="282"/>
      <c r="O288" s="282"/>
      <c r="P288" s="282"/>
      <c r="Q288" s="282"/>
      <c r="R288" s="282"/>
      <c r="S288" s="282"/>
      <c r="T288" s="283"/>
    </row>
    <row r="289" spans="12:20" x14ac:dyDescent="0.4">
      <c r="L289" s="281"/>
      <c r="M289" s="282"/>
      <c r="N289" s="282"/>
      <c r="O289" s="282"/>
      <c r="P289" s="282"/>
      <c r="Q289" s="282"/>
      <c r="R289" s="282"/>
      <c r="S289" s="282"/>
      <c r="T289" s="283"/>
    </row>
    <row r="290" spans="12:20" x14ac:dyDescent="0.4">
      <c r="L290" s="281"/>
      <c r="M290" s="282"/>
      <c r="N290" s="282"/>
      <c r="O290" s="282"/>
      <c r="P290" s="282"/>
      <c r="Q290" s="282"/>
      <c r="R290" s="282"/>
      <c r="S290" s="282"/>
      <c r="T290" s="283"/>
    </row>
    <row r="291" spans="12:20" x14ac:dyDescent="0.4">
      <c r="L291" s="281"/>
      <c r="M291" s="282"/>
      <c r="N291" s="282"/>
      <c r="O291" s="282"/>
      <c r="P291" s="282"/>
      <c r="Q291" s="282"/>
      <c r="R291" s="282"/>
      <c r="S291" s="282"/>
      <c r="T291" s="283"/>
    </row>
    <row r="292" spans="12:20" x14ac:dyDescent="0.4">
      <c r="L292" s="281"/>
      <c r="M292" s="282"/>
      <c r="N292" s="282"/>
      <c r="O292" s="282"/>
      <c r="P292" s="282"/>
      <c r="Q292" s="282"/>
      <c r="R292" s="282"/>
      <c r="S292" s="282"/>
      <c r="T292" s="283"/>
    </row>
    <row r="293" spans="12:20" x14ac:dyDescent="0.4">
      <c r="L293" s="281"/>
      <c r="M293" s="282"/>
      <c r="N293" s="282"/>
      <c r="O293" s="282"/>
      <c r="P293" s="282"/>
      <c r="Q293" s="282"/>
      <c r="R293" s="282"/>
      <c r="S293" s="282"/>
      <c r="T293" s="283"/>
    </row>
    <row r="294" spans="12:20" x14ac:dyDescent="0.4">
      <c r="L294" s="281"/>
      <c r="M294" s="282"/>
      <c r="N294" s="282"/>
      <c r="O294" s="282"/>
      <c r="P294" s="282"/>
      <c r="Q294" s="282"/>
      <c r="R294" s="282"/>
      <c r="S294" s="282"/>
      <c r="T294" s="283"/>
    </row>
    <row r="295" spans="12:20" x14ac:dyDescent="0.4">
      <c r="L295" s="281"/>
      <c r="M295" s="282"/>
      <c r="N295" s="282"/>
      <c r="O295" s="282"/>
      <c r="P295" s="282"/>
      <c r="Q295" s="282"/>
      <c r="R295" s="282"/>
      <c r="S295" s="282"/>
      <c r="T295" s="283"/>
    </row>
    <row r="296" spans="12:20" x14ac:dyDescent="0.4">
      <c r="L296" s="281"/>
      <c r="M296" s="282"/>
      <c r="N296" s="282"/>
      <c r="O296" s="282"/>
      <c r="P296" s="282"/>
      <c r="Q296" s="282"/>
      <c r="R296" s="282"/>
      <c r="S296" s="282"/>
      <c r="T296" s="283"/>
    </row>
    <row r="297" spans="12:20" x14ac:dyDescent="0.4">
      <c r="L297" s="281"/>
      <c r="M297" s="282"/>
      <c r="N297" s="282"/>
      <c r="O297" s="282"/>
      <c r="P297" s="282"/>
      <c r="Q297" s="282"/>
      <c r="R297" s="282"/>
      <c r="S297" s="282"/>
      <c r="T297" s="283"/>
    </row>
    <row r="298" spans="12:20" x14ac:dyDescent="0.4">
      <c r="L298" s="281"/>
      <c r="M298" s="282"/>
      <c r="N298" s="282"/>
      <c r="O298" s="282"/>
      <c r="P298" s="282"/>
      <c r="Q298" s="282"/>
      <c r="R298" s="282"/>
      <c r="S298" s="282"/>
      <c r="T298" s="283"/>
    </row>
    <row r="299" spans="12:20" x14ac:dyDescent="0.4">
      <c r="L299" s="281"/>
      <c r="M299" s="282"/>
      <c r="N299" s="282"/>
      <c r="O299" s="282"/>
      <c r="P299" s="282"/>
      <c r="Q299" s="282"/>
      <c r="R299" s="282"/>
      <c r="S299" s="282"/>
      <c r="T299" s="283"/>
    </row>
    <row r="300" spans="12:20" x14ac:dyDescent="0.4">
      <c r="L300" s="281"/>
      <c r="M300" s="282"/>
      <c r="N300" s="282"/>
      <c r="O300" s="282"/>
      <c r="P300" s="282"/>
      <c r="Q300" s="282"/>
      <c r="R300" s="282"/>
      <c r="S300" s="282"/>
      <c r="T300" s="283"/>
    </row>
    <row r="301" spans="12:20" x14ac:dyDescent="0.4">
      <c r="L301" s="281"/>
      <c r="M301" s="282"/>
      <c r="N301" s="282"/>
      <c r="O301" s="282"/>
      <c r="P301" s="282"/>
      <c r="Q301" s="282"/>
      <c r="R301" s="282"/>
      <c r="S301" s="282"/>
      <c r="T301" s="283"/>
    </row>
    <row r="302" spans="12:20" x14ac:dyDescent="0.4">
      <c r="L302" s="281"/>
      <c r="M302" s="282"/>
      <c r="N302" s="282"/>
      <c r="O302" s="282"/>
      <c r="P302" s="282"/>
      <c r="Q302" s="282"/>
      <c r="R302" s="282"/>
      <c r="S302" s="282"/>
      <c r="T302" s="283"/>
    </row>
    <row r="303" spans="12:20" x14ac:dyDescent="0.4">
      <c r="L303" s="281"/>
      <c r="M303" s="282"/>
      <c r="N303" s="282"/>
      <c r="O303" s="282"/>
      <c r="P303" s="282"/>
      <c r="Q303" s="282"/>
      <c r="R303" s="282"/>
      <c r="S303" s="282"/>
      <c r="T303" s="283"/>
    </row>
    <row r="304" spans="12:20" x14ac:dyDescent="0.4">
      <c r="L304" s="281"/>
      <c r="M304" s="282"/>
      <c r="N304" s="282"/>
      <c r="O304" s="282"/>
      <c r="P304" s="282"/>
      <c r="Q304" s="282"/>
      <c r="R304" s="282"/>
      <c r="S304" s="282"/>
      <c r="T304" s="283"/>
    </row>
    <row r="305" spans="12:20" x14ac:dyDescent="0.4">
      <c r="L305" s="281"/>
      <c r="M305" s="282"/>
      <c r="N305" s="282"/>
      <c r="O305" s="282"/>
      <c r="P305" s="282"/>
      <c r="Q305" s="282"/>
      <c r="R305" s="282"/>
      <c r="S305" s="282"/>
      <c r="T305" s="283"/>
    </row>
    <row r="306" spans="12:20" x14ac:dyDescent="0.4">
      <c r="L306" s="281"/>
      <c r="M306" s="282"/>
      <c r="N306" s="282"/>
      <c r="O306" s="282"/>
      <c r="P306" s="282"/>
      <c r="Q306" s="282"/>
      <c r="R306" s="282"/>
      <c r="S306" s="282"/>
      <c r="T306" s="283"/>
    </row>
    <row r="307" spans="12:20" x14ac:dyDescent="0.4">
      <c r="L307" s="281"/>
      <c r="M307" s="282"/>
      <c r="N307" s="282"/>
      <c r="O307" s="282"/>
      <c r="P307" s="282"/>
      <c r="Q307" s="282"/>
      <c r="R307" s="282"/>
      <c r="S307" s="282"/>
      <c r="T307" s="283"/>
    </row>
    <row r="308" spans="12:20" x14ac:dyDescent="0.4">
      <c r="L308" s="281"/>
      <c r="M308" s="282"/>
      <c r="N308" s="282"/>
      <c r="O308" s="282"/>
      <c r="P308" s="282"/>
      <c r="Q308" s="282"/>
      <c r="R308" s="282"/>
      <c r="S308" s="282"/>
      <c r="T308" s="283"/>
    </row>
    <row r="309" spans="12:20" x14ac:dyDescent="0.4">
      <c r="L309" s="281"/>
      <c r="M309" s="282"/>
      <c r="N309" s="282"/>
      <c r="O309" s="282"/>
      <c r="P309" s="282"/>
      <c r="Q309" s="282"/>
      <c r="R309" s="282"/>
      <c r="S309" s="282"/>
      <c r="T309" s="283"/>
    </row>
    <row r="310" spans="12:20" x14ac:dyDescent="0.4">
      <c r="L310" s="281"/>
      <c r="M310" s="282"/>
      <c r="N310" s="282"/>
      <c r="O310" s="282"/>
      <c r="P310" s="282"/>
      <c r="Q310" s="282"/>
      <c r="R310" s="282"/>
      <c r="S310" s="282"/>
      <c r="T310" s="283"/>
    </row>
    <row r="311" spans="12:20" x14ac:dyDescent="0.4">
      <c r="L311" s="281"/>
      <c r="M311" s="282"/>
      <c r="N311" s="282"/>
      <c r="O311" s="282"/>
      <c r="P311" s="282"/>
      <c r="Q311" s="282"/>
      <c r="R311" s="282"/>
      <c r="S311" s="282"/>
      <c r="T311" s="283"/>
    </row>
    <row r="312" spans="12:20" x14ac:dyDescent="0.4">
      <c r="L312" s="281"/>
      <c r="M312" s="282"/>
      <c r="N312" s="282"/>
      <c r="O312" s="282"/>
      <c r="P312" s="282"/>
      <c r="Q312" s="282"/>
      <c r="R312" s="282"/>
      <c r="S312" s="282"/>
      <c r="T312" s="283"/>
    </row>
    <row r="313" spans="12:20" x14ac:dyDescent="0.4">
      <c r="L313" s="281"/>
      <c r="M313" s="282"/>
      <c r="N313" s="282"/>
      <c r="O313" s="282"/>
      <c r="P313" s="282"/>
      <c r="Q313" s="282"/>
      <c r="R313" s="282"/>
      <c r="S313" s="282"/>
      <c r="T313" s="283"/>
    </row>
    <row r="314" spans="12:20" x14ac:dyDescent="0.4">
      <c r="L314" s="281"/>
      <c r="M314" s="282"/>
      <c r="N314" s="282"/>
      <c r="O314" s="282"/>
      <c r="P314" s="282"/>
      <c r="Q314" s="282"/>
      <c r="R314" s="282"/>
      <c r="S314" s="282"/>
      <c r="T314" s="283"/>
    </row>
    <row r="315" spans="12:20" x14ac:dyDescent="0.4">
      <c r="L315" s="281"/>
      <c r="M315" s="282"/>
      <c r="N315" s="282"/>
      <c r="O315" s="282"/>
      <c r="P315" s="282"/>
      <c r="Q315" s="282"/>
      <c r="R315" s="282"/>
      <c r="S315" s="282"/>
      <c r="T315" s="283"/>
    </row>
    <row r="316" spans="12:20" x14ac:dyDescent="0.4">
      <c r="L316" s="281"/>
      <c r="M316" s="282"/>
      <c r="N316" s="282"/>
      <c r="O316" s="282"/>
      <c r="P316" s="282"/>
      <c r="Q316" s="282"/>
      <c r="R316" s="282"/>
      <c r="S316" s="282"/>
      <c r="T316" s="283"/>
    </row>
    <row r="317" spans="12:20" x14ac:dyDescent="0.4">
      <c r="L317" s="281"/>
      <c r="M317" s="282"/>
      <c r="N317" s="282"/>
      <c r="O317" s="282"/>
      <c r="P317" s="282"/>
      <c r="Q317" s="282"/>
      <c r="R317" s="282"/>
      <c r="S317" s="282"/>
      <c r="T317" s="283"/>
    </row>
    <row r="318" spans="12:20" x14ac:dyDescent="0.4">
      <c r="L318" s="281"/>
      <c r="M318" s="282"/>
      <c r="N318" s="282"/>
      <c r="O318" s="282"/>
      <c r="P318" s="282"/>
      <c r="Q318" s="282"/>
      <c r="R318" s="282"/>
      <c r="S318" s="282"/>
      <c r="T318" s="283"/>
    </row>
    <row r="319" spans="12:20" x14ac:dyDescent="0.4">
      <c r="L319" s="281"/>
      <c r="M319" s="282"/>
      <c r="N319" s="282"/>
      <c r="O319" s="282"/>
      <c r="P319" s="282"/>
      <c r="Q319" s="282"/>
      <c r="R319" s="282"/>
      <c r="S319" s="282"/>
      <c r="T319" s="283"/>
    </row>
    <row r="320" spans="12:20" x14ac:dyDescent="0.4">
      <c r="L320" s="281"/>
      <c r="M320" s="282"/>
      <c r="N320" s="282"/>
      <c r="O320" s="282"/>
      <c r="P320" s="282"/>
      <c r="Q320" s="282"/>
      <c r="R320" s="282"/>
      <c r="S320" s="282"/>
      <c r="T320" s="283"/>
    </row>
    <row r="321" spans="12:20" x14ac:dyDescent="0.4">
      <c r="L321" s="281"/>
      <c r="M321" s="282"/>
      <c r="N321" s="282"/>
      <c r="O321" s="282"/>
      <c r="P321" s="282"/>
      <c r="Q321" s="282"/>
      <c r="R321" s="282"/>
      <c r="S321" s="282"/>
      <c r="T321" s="283"/>
    </row>
    <row r="322" spans="12:20" x14ac:dyDescent="0.4">
      <c r="L322" s="281"/>
      <c r="M322" s="282"/>
      <c r="N322" s="282"/>
      <c r="O322" s="282"/>
      <c r="P322" s="282"/>
      <c r="Q322" s="282"/>
      <c r="R322" s="282"/>
      <c r="S322" s="282"/>
      <c r="T322" s="283"/>
    </row>
    <row r="323" spans="12:20" x14ac:dyDescent="0.4">
      <c r="L323" s="281"/>
      <c r="M323" s="282"/>
      <c r="N323" s="282"/>
      <c r="O323" s="282"/>
      <c r="P323" s="282"/>
      <c r="Q323" s="282"/>
      <c r="R323" s="282"/>
      <c r="S323" s="282"/>
      <c r="T323" s="283"/>
    </row>
    <row r="324" spans="12:20" x14ac:dyDescent="0.4">
      <c r="L324" s="281"/>
      <c r="M324" s="282"/>
      <c r="N324" s="282"/>
      <c r="O324" s="282"/>
      <c r="P324" s="282"/>
      <c r="Q324" s="282"/>
      <c r="R324" s="282"/>
      <c r="S324" s="282"/>
      <c r="T324" s="283"/>
    </row>
    <row r="325" spans="12:20" x14ac:dyDescent="0.4">
      <c r="L325" s="281"/>
      <c r="M325" s="282"/>
      <c r="N325" s="282"/>
      <c r="O325" s="282"/>
      <c r="P325" s="282"/>
      <c r="Q325" s="282"/>
      <c r="R325" s="282"/>
      <c r="S325" s="282"/>
      <c r="T325" s="283"/>
    </row>
    <row r="326" spans="12:20" x14ac:dyDescent="0.4">
      <c r="L326" s="281"/>
      <c r="M326" s="282"/>
      <c r="N326" s="282"/>
      <c r="O326" s="282"/>
      <c r="P326" s="282"/>
      <c r="Q326" s="282"/>
      <c r="R326" s="282"/>
      <c r="S326" s="282"/>
      <c r="T326" s="283"/>
    </row>
    <row r="327" spans="12:20" x14ac:dyDescent="0.4">
      <c r="L327" s="281"/>
      <c r="M327" s="282"/>
      <c r="N327" s="282"/>
      <c r="O327" s="282"/>
      <c r="P327" s="282"/>
      <c r="Q327" s="282"/>
      <c r="R327" s="282"/>
      <c r="S327" s="282"/>
      <c r="T327" s="283"/>
    </row>
    <row r="328" spans="12:20" x14ac:dyDescent="0.4">
      <c r="L328" s="281"/>
      <c r="M328" s="282"/>
      <c r="N328" s="282"/>
      <c r="O328" s="282"/>
      <c r="P328" s="282"/>
      <c r="Q328" s="282"/>
      <c r="R328" s="282"/>
      <c r="S328" s="282"/>
      <c r="T328" s="283"/>
    </row>
    <row r="329" spans="12:20" x14ac:dyDescent="0.4">
      <c r="L329" s="281"/>
      <c r="M329" s="282"/>
      <c r="N329" s="282"/>
      <c r="O329" s="282"/>
      <c r="P329" s="282"/>
      <c r="Q329" s="282"/>
      <c r="R329" s="282"/>
      <c r="S329" s="282"/>
      <c r="T329" s="283"/>
    </row>
    <row r="330" spans="12:20" x14ac:dyDescent="0.4">
      <c r="L330" s="281"/>
      <c r="M330" s="282"/>
      <c r="N330" s="282"/>
      <c r="O330" s="282"/>
      <c r="P330" s="282"/>
      <c r="Q330" s="282"/>
      <c r="R330" s="282"/>
      <c r="S330" s="282"/>
      <c r="T330" s="283"/>
    </row>
    <row r="331" spans="12:20" x14ac:dyDescent="0.4">
      <c r="L331" s="281"/>
      <c r="M331" s="282"/>
      <c r="N331" s="282"/>
      <c r="O331" s="282"/>
      <c r="P331" s="282"/>
      <c r="Q331" s="282"/>
      <c r="R331" s="282"/>
      <c r="S331" s="282"/>
      <c r="T331" s="283"/>
    </row>
    <row r="332" spans="12:20" x14ac:dyDescent="0.4">
      <c r="L332" s="281"/>
      <c r="M332" s="282"/>
      <c r="N332" s="282"/>
      <c r="O332" s="282"/>
      <c r="P332" s="282"/>
      <c r="Q332" s="282"/>
      <c r="R332" s="282"/>
      <c r="S332" s="282"/>
      <c r="T332" s="283"/>
    </row>
    <row r="333" spans="12:20" x14ac:dyDescent="0.4">
      <c r="L333" s="281"/>
      <c r="M333" s="282"/>
      <c r="N333" s="282"/>
      <c r="O333" s="282"/>
      <c r="P333" s="282"/>
      <c r="Q333" s="282"/>
      <c r="R333" s="282"/>
      <c r="S333" s="282"/>
      <c r="T333" s="283"/>
    </row>
    <row r="334" spans="12:20" x14ac:dyDescent="0.4">
      <c r="L334" s="281"/>
      <c r="M334" s="282"/>
      <c r="N334" s="282"/>
      <c r="O334" s="282"/>
      <c r="P334" s="282"/>
      <c r="Q334" s="282"/>
      <c r="R334" s="282"/>
      <c r="S334" s="282"/>
      <c r="T334" s="283"/>
    </row>
    <row r="335" spans="12:20" x14ac:dyDescent="0.4">
      <c r="L335" s="281"/>
      <c r="M335" s="282"/>
      <c r="N335" s="282"/>
      <c r="O335" s="282"/>
      <c r="P335" s="282"/>
      <c r="Q335" s="282"/>
      <c r="R335" s="282"/>
      <c r="S335" s="282"/>
      <c r="T335" s="283"/>
    </row>
    <row r="336" spans="12:20" x14ac:dyDescent="0.4">
      <c r="L336" s="281"/>
      <c r="M336" s="282"/>
      <c r="N336" s="282"/>
      <c r="O336" s="282"/>
      <c r="P336" s="282"/>
      <c r="Q336" s="282"/>
      <c r="R336" s="282"/>
      <c r="S336" s="282"/>
      <c r="T336" s="283"/>
    </row>
    <row r="337" spans="12:20" x14ac:dyDescent="0.4">
      <c r="L337" s="281"/>
      <c r="M337" s="282"/>
      <c r="N337" s="282"/>
      <c r="O337" s="282"/>
      <c r="P337" s="282"/>
      <c r="Q337" s="282"/>
      <c r="R337" s="282"/>
      <c r="S337" s="282"/>
      <c r="T337" s="283"/>
    </row>
    <row r="338" spans="12:20" x14ac:dyDescent="0.4">
      <c r="L338" s="281"/>
      <c r="M338" s="282"/>
      <c r="N338" s="282"/>
      <c r="O338" s="282"/>
      <c r="P338" s="282"/>
      <c r="Q338" s="282"/>
      <c r="R338" s="282"/>
      <c r="S338" s="282"/>
      <c r="T338" s="283"/>
    </row>
    <row r="339" spans="12:20" x14ac:dyDescent="0.4">
      <c r="L339" s="281"/>
      <c r="M339" s="282"/>
      <c r="N339" s="282"/>
      <c r="O339" s="282"/>
      <c r="P339" s="282"/>
      <c r="Q339" s="282"/>
      <c r="R339" s="282"/>
      <c r="S339" s="282"/>
      <c r="T339" s="283"/>
    </row>
    <row r="340" spans="12:20" x14ac:dyDescent="0.4">
      <c r="L340" s="281"/>
      <c r="M340" s="282"/>
      <c r="N340" s="282"/>
      <c r="O340" s="282"/>
      <c r="P340" s="282"/>
      <c r="Q340" s="282"/>
      <c r="R340" s="282"/>
      <c r="S340" s="282"/>
      <c r="T340" s="283"/>
    </row>
    <row r="341" spans="12:20" x14ac:dyDescent="0.4">
      <c r="L341" s="281"/>
      <c r="M341" s="282"/>
      <c r="N341" s="282"/>
      <c r="O341" s="282"/>
      <c r="P341" s="282"/>
      <c r="Q341" s="282"/>
      <c r="R341" s="282"/>
      <c r="S341" s="282"/>
      <c r="T341" s="283"/>
    </row>
    <row r="342" spans="12:20" x14ac:dyDescent="0.4">
      <c r="L342" s="281"/>
      <c r="M342" s="282"/>
      <c r="N342" s="282"/>
      <c r="O342" s="282"/>
      <c r="P342" s="282"/>
      <c r="Q342" s="282"/>
      <c r="R342" s="282"/>
      <c r="S342" s="282"/>
      <c r="T342" s="283"/>
    </row>
    <row r="343" spans="12:20" x14ac:dyDescent="0.4">
      <c r="L343" s="281"/>
      <c r="M343" s="282"/>
      <c r="N343" s="282"/>
      <c r="O343" s="282"/>
      <c r="P343" s="282"/>
      <c r="Q343" s="282"/>
      <c r="R343" s="282"/>
      <c r="S343" s="282"/>
      <c r="T343" s="283"/>
    </row>
    <row r="344" spans="12:20" x14ac:dyDescent="0.4">
      <c r="L344" s="281"/>
      <c r="M344" s="282"/>
      <c r="N344" s="282"/>
      <c r="O344" s="282"/>
      <c r="P344" s="282"/>
      <c r="Q344" s="282"/>
      <c r="R344" s="282"/>
      <c r="S344" s="282"/>
      <c r="T344" s="283"/>
    </row>
    <row r="345" spans="12:20" x14ac:dyDescent="0.4">
      <c r="L345" s="281"/>
      <c r="M345" s="282"/>
      <c r="N345" s="282"/>
      <c r="O345" s="282"/>
      <c r="P345" s="282"/>
      <c r="Q345" s="282"/>
      <c r="R345" s="282"/>
      <c r="S345" s="282"/>
      <c r="T345" s="283"/>
    </row>
    <row r="346" spans="12:20" x14ac:dyDescent="0.4">
      <c r="L346" s="281"/>
      <c r="M346" s="282"/>
      <c r="N346" s="282"/>
      <c r="O346" s="282"/>
      <c r="P346" s="282"/>
      <c r="Q346" s="282"/>
      <c r="R346" s="282"/>
      <c r="S346" s="282"/>
      <c r="T346" s="283"/>
    </row>
    <row r="347" spans="12:20" x14ac:dyDescent="0.4">
      <c r="L347" s="281"/>
      <c r="M347" s="282"/>
      <c r="N347" s="282"/>
      <c r="O347" s="282"/>
      <c r="P347" s="282"/>
      <c r="Q347" s="282"/>
      <c r="R347" s="282"/>
      <c r="S347" s="282"/>
      <c r="T347" s="283"/>
    </row>
    <row r="348" spans="12:20" x14ac:dyDescent="0.4">
      <c r="L348" s="281"/>
      <c r="M348" s="282"/>
      <c r="N348" s="282"/>
      <c r="O348" s="282"/>
      <c r="P348" s="282"/>
      <c r="Q348" s="282"/>
      <c r="R348" s="282"/>
      <c r="S348" s="282"/>
      <c r="T348" s="283"/>
    </row>
    <row r="349" spans="12:20" x14ac:dyDescent="0.4">
      <c r="L349" s="281"/>
      <c r="M349" s="282"/>
      <c r="N349" s="282"/>
      <c r="O349" s="282"/>
      <c r="P349" s="282"/>
      <c r="Q349" s="282"/>
      <c r="R349" s="282"/>
      <c r="S349" s="282"/>
      <c r="T349" s="283"/>
    </row>
    <row r="350" spans="12:20" x14ac:dyDescent="0.4">
      <c r="L350" s="281"/>
      <c r="M350" s="282"/>
      <c r="N350" s="282"/>
      <c r="O350" s="282"/>
      <c r="P350" s="282"/>
      <c r="Q350" s="282"/>
      <c r="R350" s="282"/>
      <c r="S350" s="282"/>
      <c r="T350" s="283"/>
    </row>
    <row r="351" spans="12:20" x14ac:dyDescent="0.4">
      <c r="L351" s="281"/>
      <c r="M351" s="282"/>
      <c r="N351" s="282"/>
      <c r="O351" s="282"/>
      <c r="P351" s="282"/>
      <c r="Q351" s="282"/>
      <c r="R351" s="282"/>
      <c r="S351" s="282"/>
      <c r="T351" s="283"/>
    </row>
    <row r="352" spans="12:20" x14ac:dyDescent="0.4">
      <c r="L352" s="281"/>
      <c r="M352" s="282"/>
      <c r="N352" s="282"/>
      <c r="O352" s="282"/>
      <c r="P352" s="282"/>
      <c r="Q352" s="282"/>
      <c r="R352" s="282"/>
      <c r="S352" s="282"/>
      <c r="T352" s="283"/>
    </row>
    <row r="353" spans="12:20" x14ac:dyDescent="0.4">
      <c r="L353" s="284"/>
      <c r="M353" s="285"/>
      <c r="N353" s="285"/>
      <c r="O353" s="285"/>
      <c r="P353" s="285"/>
      <c r="Q353" s="285"/>
      <c r="R353" s="285"/>
      <c r="S353" s="285"/>
      <c r="T353" s="286"/>
    </row>
  </sheetData>
  <sheetProtection algorithmName="SHA-512" hashValue="rAP2MreBtmDmlKNxKhImmScu4LmaDg9Gch27lG56QqaoCwz6+czNvfF4bawbYi65etzFosk9CKsr/4FPkrwsFw==" saltValue="z5xBSS9SEjGiJ9DCChRrgw==" spinCount="100000" sheet="1" objects="1" scenarios="1"/>
  <mergeCells count="70">
    <mergeCell ref="L6:T6"/>
    <mergeCell ref="L5:N5"/>
    <mergeCell ref="B75:C75"/>
    <mergeCell ref="B70:C70"/>
    <mergeCell ref="B71:C71"/>
    <mergeCell ref="B72:C72"/>
    <mergeCell ref="B73:C73"/>
    <mergeCell ref="B74:C74"/>
    <mergeCell ref="B65:C65"/>
    <mergeCell ref="B66:C66"/>
    <mergeCell ref="B67:C67"/>
    <mergeCell ref="B68:C68"/>
    <mergeCell ref="B69:C69"/>
    <mergeCell ref="B50:H50"/>
    <mergeCell ref="B46:D46"/>
    <mergeCell ref="B20:G20"/>
    <mergeCell ref="B76:C76"/>
    <mergeCell ref="B77:C77"/>
    <mergeCell ref="B1:J1"/>
    <mergeCell ref="B8:I10"/>
    <mergeCell ref="B53:C53"/>
    <mergeCell ref="B54:C54"/>
    <mergeCell ref="B55:C55"/>
    <mergeCell ref="B56:C56"/>
    <mergeCell ref="B57:C57"/>
    <mergeCell ref="B58:C58"/>
    <mergeCell ref="B59:C59"/>
    <mergeCell ref="B60:C60"/>
    <mergeCell ref="B61:C61"/>
    <mergeCell ref="B62:C62"/>
    <mergeCell ref="B63:C63"/>
    <mergeCell ref="B64:C64"/>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B26:D26"/>
    <mergeCell ref="B27:D27"/>
    <mergeCell ref="B28:D28"/>
    <mergeCell ref="B29:D29"/>
    <mergeCell ref="B30:D30"/>
    <mergeCell ref="B21:D21"/>
    <mergeCell ref="B22:D22"/>
    <mergeCell ref="B23:D23"/>
    <mergeCell ref="B24:D24"/>
    <mergeCell ref="B25:D25"/>
    <mergeCell ref="B3:D3"/>
    <mergeCell ref="B4:D4"/>
    <mergeCell ref="B2:I2"/>
    <mergeCell ref="L2:T2"/>
    <mergeCell ref="F3:H3"/>
    <mergeCell ref="F4:H4"/>
    <mergeCell ref="L4:N4"/>
    <mergeCell ref="O4:T5"/>
    <mergeCell ref="B11:I11"/>
    <mergeCell ref="F14:F16"/>
    <mergeCell ref="E14:E16"/>
    <mergeCell ref="D14:D16"/>
    <mergeCell ref="C14:C16"/>
  </mergeCells>
  <hyperlinks>
    <hyperlink ref="B11" r:id="rId1" xr:uid="{83538D84-EEB9-470F-9644-6CF0037B36AA}"/>
    <hyperlink ref="L6" r:id="rId2" xr:uid="{3591189C-7737-4CED-BAFD-4E3FCCFDEAA2}"/>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B9CE-1485-48E0-9588-DA64ACEE4979}">
  <dimension ref="A1:O58"/>
  <sheetViews>
    <sheetView view="pageLayout" topLeftCell="A51" zoomScale="130" zoomScaleNormal="100" zoomScalePageLayoutView="130" workbookViewId="0">
      <selection activeCell="G59" sqref="G59"/>
    </sheetView>
  </sheetViews>
  <sheetFormatPr defaultColWidth="8.69140625" defaultRowHeight="12.9" x14ac:dyDescent="0.35"/>
  <cols>
    <col min="1" max="5" width="11.84375" style="148" customWidth="1"/>
    <col min="6" max="6" width="11.84375" style="10" customWidth="1"/>
    <col min="7" max="12" width="11.84375" style="148" customWidth="1"/>
    <col min="13" max="16384" width="8.69140625" style="148"/>
  </cols>
  <sheetData>
    <row r="1" spans="1:10" ht="83.5" hidden="1" customHeight="1" x14ac:dyDescent="0.35">
      <c r="A1" s="63"/>
      <c r="B1" s="64"/>
      <c r="C1" s="64"/>
      <c r="D1" s="63"/>
      <c r="E1" s="64"/>
      <c r="F1" s="206"/>
      <c r="G1" s="335"/>
      <c r="H1" s="65"/>
      <c r="I1" s="65"/>
      <c r="J1" s="65"/>
    </row>
    <row r="2" spans="1:10" ht="196" hidden="1" customHeight="1" x14ac:dyDescent="0.35">
      <c r="A2" s="500"/>
      <c r="B2" s="500"/>
      <c r="C2" s="500"/>
      <c r="D2" s="500"/>
      <c r="E2" s="500"/>
      <c r="F2" s="500"/>
      <c r="G2" s="335"/>
    </row>
    <row r="3" spans="1:10" ht="187" hidden="1" customHeight="1" x14ac:dyDescent="0.35">
      <c r="A3" s="525"/>
      <c r="B3" s="500"/>
      <c r="C3" s="500"/>
      <c r="D3" s="500"/>
      <c r="E3" s="500"/>
      <c r="F3" s="500"/>
      <c r="G3" s="335"/>
    </row>
    <row r="4" spans="1:10" ht="4.5" hidden="1" customHeight="1" thickBot="1" x14ac:dyDescent="0.4">
      <c r="A4" s="66"/>
      <c r="B4" s="66"/>
      <c r="C4" s="66"/>
      <c r="D4" s="66"/>
      <c r="E4" s="66"/>
      <c r="F4" s="212"/>
      <c r="G4" s="335"/>
    </row>
    <row r="5" spans="1:10" hidden="1" x14ac:dyDescent="0.35">
      <c r="A5" s="501"/>
      <c r="B5" s="502"/>
      <c r="C5" s="690"/>
      <c r="D5" s="690"/>
      <c r="E5" s="690"/>
      <c r="F5" s="691"/>
      <c r="G5" s="335"/>
    </row>
    <row r="6" spans="1:10" hidden="1" x14ac:dyDescent="0.35">
      <c r="A6" s="531"/>
      <c r="B6" s="532"/>
      <c r="C6" s="692"/>
      <c r="D6" s="693"/>
      <c r="E6" s="693"/>
      <c r="F6" s="694"/>
      <c r="G6" s="335"/>
    </row>
    <row r="7" spans="1:10" ht="15.65" hidden="1" customHeight="1" x14ac:dyDescent="0.35">
      <c r="A7" s="503"/>
      <c r="B7" s="504"/>
      <c r="C7" s="695"/>
      <c r="D7" s="695"/>
      <c r="E7" s="695"/>
      <c r="F7" s="696"/>
      <c r="G7" s="335"/>
    </row>
    <row r="8" spans="1:10" ht="15.65" hidden="1" customHeight="1" x14ac:dyDescent="0.35">
      <c r="A8" s="503"/>
      <c r="B8" s="504"/>
      <c r="C8" s="695"/>
      <c r="D8" s="695"/>
      <c r="E8" s="695"/>
      <c r="F8" s="696"/>
      <c r="G8" s="335"/>
    </row>
    <row r="9" spans="1:10" ht="15" hidden="1" thickBot="1" x14ac:dyDescent="0.45">
      <c r="A9" s="513"/>
      <c r="B9" s="514"/>
      <c r="C9" s="697"/>
      <c r="D9" s="698"/>
      <c r="E9" s="698"/>
      <c r="F9" s="699"/>
      <c r="G9" s="335"/>
    </row>
    <row r="10" spans="1:10" ht="13.3" hidden="1" thickBot="1" x14ac:dyDescent="0.4">
      <c r="A10" s="66"/>
      <c r="B10" s="66"/>
      <c r="C10" s="66"/>
      <c r="D10" s="66"/>
      <c r="E10" s="67" t="str">
        <f>IF(C11=DropDownLists!A5,"are 24 hours",IF(C11=DropDownLists!A6,"are 24 hours",IF(C11=DropDownLists!A7,"will depend on the number of people you suport",IF(C11=DropDownLists!A8,"will depend on the number of people you suport",IF(C11=DropDownLists!A9,"will depend on the number of people you suport")))))</f>
        <v>are 24 hours</v>
      </c>
      <c r="F10" s="213" t="b">
        <f>IF(E10="are 24 hours",TRUE)</f>
        <v>1</v>
      </c>
      <c r="G10" s="335"/>
    </row>
    <row r="11" spans="1:10" ht="13.3" hidden="1" thickBot="1" x14ac:dyDescent="0.4">
      <c r="A11" s="515" t="s">
        <v>4</v>
      </c>
      <c r="B11" s="516"/>
      <c r="C11" s="519" t="str">
        <f>'About your business'!C11:F11</f>
        <v>Highly Specialised Accommodation (e.g. nursing care)</v>
      </c>
      <c r="D11" s="519"/>
      <c r="E11" s="519"/>
      <c r="F11" s="520"/>
      <c r="G11" s="335"/>
    </row>
    <row r="12" spans="1:10" ht="15.65" hidden="1" customHeight="1" thickBot="1" x14ac:dyDescent="0.4">
      <c r="A12" s="505" t="s">
        <v>106</v>
      </c>
      <c r="B12" s="506"/>
      <c r="C12" s="700">
        <f>'About your business'!C12:D12</f>
        <v>0</v>
      </c>
      <c r="D12" s="700"/>
      <c r="E12" s="336">
        <f>'About your business'!E12</f>
        <v>0</v>
      </c>
      <c r="F12" s="337">
        <f>'About your business'!F12</f>
        <v>0</v>
      </c>
      <c r="G12" s="335"/>
    </row>
    <row r="13" spans="1:10" ht="13.3" hidden="1" thickBot="1" x14ac:dyDescent="0.4">
      <c r="A13" s="507"/>
      <c r="B13" s="508"/>
      <c r="C13" s="700">
        <f>'About your business'!C13:D13</f>
        <v>0</v>
      </c>
      <c r="D13" s="700"/>
      <c r="E13" s="336">
        <f>'About your business'!E13</f>
        <v>0</v>
      </c>
      <c r="F13" s="337">
        <f>'About your business'!F13</f>
        <v>0</v>
      </c>
    </row>
    <row r="14" spans="1:10" ht="13" hidden="1" customHeight="1" thickBot="1" x14ac:dyDescent="0.4">
      <c r="A14" s="509" t="s">
        <v>12</v>
      </c>
      <c r="B14" s="510"/>
      <c r="C14" s="700" t="str">
        <f>'About your business'!C14:D14</f>
        <v>Older People</v>
      </c>
      <c r="D14" s="700"/>
      <c r="E14" s="338">
        <f>'About your business'!E14</f>
        <v>0</v>
      </c>
      <c r="F14" s="339">
        <f>'About your business'!F14</f>
        <v>0</v>
      </c>
    </row>
    <row r="15" spans="1:10" hidden="1" x14ac:dyDescent="0.35">
      <c r="A15" s="701"/>
      <c r="B15" s="702"/>
      <c r="C15" s="700">
        <f>'About your business'!C15:D15</f>
        <v>0</v>
      </c>
      <c r="D15" s="700"/>
      <c r="E15" s="338">
        <f>'About your business'!E15</f>
        <v>0</v>
      </c>
      <c r="F15" s="339">
        <f>'About your business'!F15</f>
        <v>0</v>
      </c>
    </row>
    <row r="16" spans="1:10" ht="6.55" hidden="1" customHeight="1" x14ac:dyDescent="0.35">
      <c r="A16" s="117"/>
      <c r="B16" s="117"/>
      <c r="C16" s="117"/>
      <c r="D16" s="117"/>
      <c r="E16" s="117"/>
      <c r="F16" s="214" t="str">
        <f>(IF(F17="daily","day",LEFT(F17,LEN(F17)-2)))</f>
        <v>week</v>
      </c>
    </row>
    <row r="17" spans="1:12" ht="13.3" hidden="1" thickBot="1" x14ac:dyDescent="0.4">
      <c r="A17" s="115" t="s">
        <v>31</v>
      </c>
      <c r="B17" s="116"/>
      <c r="C17" s="116"/>
      <c r="D17" s="116"/>
      <c r="E17" s="116"/>
      <c r="F17" s="215" t="s">
        <v>16</v>
      </c>
    </row>
    <row r="18" spans="1:12" hidden="1" x14ac:dyDescent="0.35">
      <c r="A18" s="66"/>
      <c r="B18" s="66"/>
      <c r="C18" s="66"/>
      <c r="D18" s="66"/>
      <c r="E18" s="66"/>
      <c r="F18" s="212"/>
    </row>
    <row r="19" spans="1:12" hidden="1" x14ac:dyDescent="0.35">
      <c r="A19" s="526" t="str">
        <f>"How many people do you suport in an average "&amp;(IF(F17="daily","day",LEFT(F17,LEN(F17)-2)))&amp;"?"</f>
        <v>How many people do you suport in an average week?</v>
      </c>
      <c r="B19" s="526"/>
      <c r="C19" s="526"/>
      <c r="D19" s="526"/>
      <c r="E19" s="526"/>
      <c r="F19" s="216"/>
    </row>
    <row r="20" spans="1:12" hidden="1" x14ac:dyDescent="0.35">
      <c r="A20" s="504" t="s">
        <v>277</v>
      </c>
      <c r="B20" s="504"/>
      <c r="C20" s="504"/>
      <c r="D20" s="504"/>
      <c r="E20" s="504"/>
      <c r="F20" s="217"/>
    </row>
    <row r="21" spans="1:12" hidden="1" x14ac:dyDescent="0.35">
      <c r="A21" s="504" t="str">
        <f>"How many "&amp;(IF(C11=DropDownLists!A5,"rooms","units"))&amp;" are in your "&amp;(IF(C11=DropDownLists!A5,"care home","residential complex"))&amp;"?"</f>
        <v>How many rooms are in your care home?</v>
      </c>
      <c r="B21" s="504"/>
      <c r="C21" s="504"/>
      <c r="D21" s="504"/>
      <c r="E21" s="504"/>
      <c r="F21" s="217">
        <f>'About your business'!F21</f>
        <v>0</v>
      </c>
    </row>
    <row r="22" spans="1:12" ht="43" hidden="1" customHeight="1" x14ac:dyDescent="0.35">
      <c r="A22" s="490" t="str">
        <f>"You have told us that you are using this workbook to report on "&amp;C11&amp;". Due to this we are asuming that your hours of direct service delivery  "&amp;E10&amp;". However we also want to understand the business management hours when you are not delivering care and suport."</f>
        <v>You have told us that you are using this workbook to report on Highly Specialised Accommodation (e.g. nursing care). Due to this we are asuming that your hours of direct service delivery  are 24 hours. However we also want to understand the business management hours when you are not delivering care and suport.</v>
      </c>
      <c r="B22" s="490"/>
      <c r="C22" s="490"/>
      <c r="D22" s="490"/>
      <c r="E22" s="490"/>
      <c r="F22" s="490"/>
    </row>
    <row r="23" spans="1:12" ht="23.15" hidden="1" customHeight="1" x14ac:dyDescent="0.35">
      <c r="A23" s="480" t="str">
        <f>"What hours is your service open, either delivering care and support, or planning service delivery in an average "&amp;(IF(F17="daily","day",LEFT(F17,LEN(F17)-2)))&amp;"?"</f>
        <v>What hours is your service open, either delivering care and support, or planning service delivery in an average week?</v>
      </c>
      <c r="B23" s="480"/>
      <c r="C23" s="480"/>
      <c r="D23" s="480"/>
      <c r="E23" s="480"/>
      <c r="F23" s="216"/>
    </row>
    <row r="24" spans="1:12" hidden="1" x14ac:dyDescent="0.35">
      <c r="A24" s="491" t="s">
        <v>157</v>
      </c>
      <c r="B24" s="491"/>
      <c r="C24" s="491"/>
      <c r="D24" s="491"/>
      <c r="E24" s="491"/>
      <c r="F24" s="217"/>
    </row>
    <row r="25" spans="1:12" hidden="1" x14ac:dyDescent="0.35">
      <c r="A25" s="134"/>
      <c r="B25" s="134"/>
      <c r="C25" s="134"/>
      <c r="D25" s="134"/>
      <c r="E25" s="134"/>
      <c r="F25" s="219"/>
    </row>
    <row r="26" spans="1:12" hidden="1" x14ac:dyDescent="0.35">
      <c r="A26" s="134"/>
      <c r="B26" s="134"/>
      <c r="C26" s="134"/>
      <c r="D26" s="134"/>
      <c r="E26" s="134"/>
      <c r="F26" s="219"/>
    </row>
    <row r="27" spans="1:12" hidden="1" x14ac:dyDescent="0.35">
      <c r="A27" s="52"/>
      <c r="B27" s="52"/>
      <c r="C27" s="52"/>
      <c r="D27" s="52"/>
      <c r="E27" s="52"/>
      <c r="F27" s="191"/>
    </row>
    <row r="28" spans="1:12" ht="4.5" hidden="1" customHeight="1" x14ac:dyDescent="0.35">
      <c r="A28" s="52"/>
      <c r="B28" s="52"/>
      <c r="C28" s="52"/>
      <c r="D28" s="70" t="s">
        <v>278</v>
      </c>
      <c r="E28" s="189" t="s">
        <v>194</v>
      </c>
      <c r="F28" s="191"/>
    </row>
    <row r="29" spans="1:12" ht="14.5" hidden="1" customHeight="1" x14ac:dyDescent="0.35">
      <c r="A29" s="703" t="s">
        <v>255</v>
      </c>
      <c r="B29" s="703"/>
      <c r="C29" s="340">
        <f>'About your business'!C26</f>
        <v>0.9</v>
      </c>
      <c r="D29" s="96">
        <f>C29*F21</f>
        <v>0</v>
      </c>
      <c r="E29" s="96">
        <v>52</v>
      </c>
      <c r="F29" s="191"/>
    </row>
    <row r="30" spans="1:12" ht="4.5" hidden="1" customHeight="1" x14ac:dyDescent="0.35">
      <c r="A30" s="52"/>
      <c r="B30" s="52"/>
      <c r="C30" s="188"/>
      <c r="D30" s="52"/>
      <c r="E30" s="52"/>
      <c r="F30" s="191"/>
    </row>
    <row r="31" spans="1:12" ht="39" hidden="1" customHeight="1" x14ac:dyDescent="0.35">
      <c r="A31" s="47"/>
      <c r="B31" s="47"/>
      <c r="D31" s="239"/>
      <c r="E31" s="239"/>
      <c r="F31" s="688" t="str">
        <f>"Reported cost increase, in year:"&amp;TEXT(SUM(F36:G36),"£#,##0.00")</f>
        <v>Reported cost increase, in year:£0.00</v>
      </c>
      <c r="G31" s="689"/>
      <c r="H31" s="687" t="str">
        <f>"Reported cost increase, projection that will begin to impact from "&amp;TEXT(MINA(C42:D44),"DD.MM.YY")&amp;": "&amp;TEXT(SUM(H36,G36),"£#,##0.00")</f>
        <v>Reported cost increase, projection that will begin to impact from 00.01.00: £0.00</v>
      </c>
      <c r="I31" s="687"/>
    </row>
    <row r="32" spans="1:12" ht="131.05000000000001" hidden="1" customHeight="1" x14ac:dyDescent="0.4">
      <c r="A32" s="47"/>
      <c r="B32" s="47"/>
      <c r="C32" s="704" t="s">
        <v>266</v>
      </c>
      <c r="D32" s="704"/>
      <c r="E32" s="11" t="s">
        <v>279</v>
      </c>
      <c r="F32" s="236" t="str">
        <f>"T&amp;F group data set increase per person per "&amp;(IF(F17="daily","day",LEFT(F17,LEN(F17)-2)))&amp;" @ "&amp;(C29*100)&amp;"% activity"</f>
        <v>T&amp;F group data set increase per person per week @ 90% activity</v>
      </c>
      <c r="G32" s="236" t="str">
        <f>"Aditionally reported data set of costs experiencing exceptional increases per person per "&amp;(IF(F17="daily","day",LEFT(F17,LEN(F17)-2)))&amp;" @ "&amp;(C29*100)&amp;"% activity"</f>
        <v>Aditionally reported data set of costs experiencing exceptional increases per person per week @ 90% activity</v>
      </c>
      <c r="H32" s="238" t="s">
        <v>267</v>
      </c>
      <c r="I32" s="308" t="str">
        <f>"Aditionally reported data set of costs experiencing exceptional increases per person per "&amp;(IF(F17="daily","day",LEFT(F17,LEN(F17)-2)))&amp;" @ "&amp;(C29*100)&amp;"% activity"</f>
        <v>Aditionally reported data set of costs experiencing exceptional increases per person per week @ 90% activity</v>
      </c>
      <c r="K32" s="148" t="s">
        <v>274</v>
      </c>
      <c r="L32" s="148" t="s">
        <v>275</v>
      </c>
    </row>
    <row r="33" spans="1:13" ht="14.6" hidden="1" x14ac:dyDescent="0.4">
      <c r="A33" s="705" t="s">
        <v>203</v>
      </c>
      <c r="B33" s="705"/>
      <c r="C33" s="706">
        <f>(SUM('Business Running Costs'!G7:G10))-(SUM('Business Running Costs'!E7:E10))</f>
        <v>0</v>
      </c>
      <c r="D33" s="497"/>
      <c r="E33" s="171">
        <f>(SUM('Business Running Costs'!G11:G16))-(SUM('Business Running Costs'!E11:E16))</f>
        <v>0</v>
      </c>
      <c r="F33" s="305">
        <f>IFERROR((C33/$D$29)/$E$29,0)</f>
        <v>0</v>
      </c>
      <c r="G33" s="305">
        <f>IFERROR((E33/$D$29)/$E$29,0)</f>
        <v>0</v>
      </c>
      <c r="H33" s="341">
        <f>F33</f>
        <v>0</v>
      </c>
      <c r="I33" s="303">
        <f>G33</f>
        <v>0</v>
      </c>
      <c r="K33" s="314" t="e">
        <f>SUM('Business Running Costs'!E11:E16)+SUM('Business Running Costs'!#REF!)+SUM('Business Running Costs'!E38:E41)</f>
        <v>#REF!</v>
      </c>
      <c r="L33" s="314" t="e">
        <f>SUM('Business Running Costs'!G11:G16)+SUM('Business Running Costs'!#REF!)+SUM('Business Running Costs'!G38:G41)</f>
        <v>#REF!</v>
      </c>
      <c r="M33" s="314" t="e">
        <f>((L33-K33)/$D$29)/$E$29</f>
        <v>#REF!</v>
      </c>
    </row>
    <row r="34" spans="1:13" ht="14.6" hidden="1" x14ac:dyDescent="0.4">
      <c r="A34" s="705" t="s">
        <v>204</v>
      </c>
      <c r="B34" s="705"/>
      <c r="C34" s="707">
        <f>SUM('Business Running Costs'!G49:G51)-SUM('Business Running Costs'!E49:E51)</f>
        <v>0</v>
      </c>
      <c r="D34" s="488"/>
      <c r="E34" s="301" t="e">
        <f>SUM('Business Running Costs'!#REF!)-SUM('Business Running Costs'!#REF!)</f>
        <v>#REF!</v>
      </c>
      <c r="F34" s="305">
        <f>IFERROR((C34/$D$29)/$E$29,0)</f>
        <v>0</v>
      </c>
      <c r="G34" s="305">
        <f>IFERROR((E34/$D$29)/$E$29,0)</f>
        <v>0</v>
      </c>
      <c r="H34" s="341">
        <f>SUM('About your business'!F38:F39)+F34</f>
        <v>0</v>
      </c>
      <c r="I34" s="303">
        <f t="shared" ref="I34:I35" si="0">G34</f>
        <v>0</v>
      </c>
    </row>
    <row r="35" spans="1:13" ht="15" hidden="1" thickBot="1" x14ac:dyDescent="0.45">
      <c r="A35" s="705" t="s">
        <v>205</v>
      </c>
      <c r="B35" s="705"/>
      <c r="C35" s="707">
        <f>SUM('Business Running Costs'!G34:G35)-SUM('Business Running Costs'!E34:E35)</f>
        <v>0</v>
      </c>
      <c r="D35" s="488"/>
      <c r="E35" s="302">
        <f>SUM('Business Running Costs'!G38:G41)-SUM('Business Running Costs'!E38:E41)</f>
        <v>0</v>
      </c>
      <c r="F35" s="305">
        <f>IFERROR((C35/$D$29)/$E$29,0)</f>
        <v>0</v>
      </c>
      <c r="G35" s="305">
        <f>IFERROR((E35/$D$29)/$E$29,0)</f>
        <v>0</v>
      </c>
      <c r="H35" s="341">
        <f>'About your business'!F40+F35</f>
        <v>0</v>
      </c>
      <c r="I35" s="303">
        <f t="shared" si="0"/>
        <v>0</v>
      </c>
      <c r="M35" s="148">
        <f>67-15.4</f>
        <v>51.6</v>
      </c>
    </row>
    <row r="36" spans="1:13" ht="15.45" hidden="1" thickTop="1" thickBot="1" x14ac:dyDescent="0.45">
      <c r="A36" s="52"/>
      <c r="B36" s="190" t="s">
        <v>195</v>
      </c>
      <c r="C36" s="486">
        <f>SUM(C33:D35)</f>
        <v>0</v>
      </c>
      <c r="D36" s="711"/>
      <c r="E36" s="171" t="e">
        <f>SUM(E33:E35)</f>
        <v>#REF!</v>
      </c>
      <c r="F36" s="306">
        <f>SUM(F33:F35)</f>
        <v>0</v>
      </c>
      <c r="G36" s="306">
        <f>SUM(G33:G35)</f>
        <v>0</v>
      </c>
      <c r="H36" s="307">
        <f>SUM(H33:H35)</f>
        <v>0</v>
      </c>
      <c r="I36" s="304">
        <f>SUM(I33:I35)</f>
        <v>0</v>
      </c>
    </row>
    <row r="37" spans="1:13" ht="15" hidden="1" thickTop="1" x14ac:dyDescent="0.4">
      <c r="A37" s="342"/>
      <c r="B37" s="342"/>
      <c r="C37" s="342"/>
      <c r="D37" s="342"/>
      <c r="E37" s="342"/>
      <c r="F37" s="342"/>
      <c r="G37" s="342"/>
      <c r="H37" s="342"/>
      <c r="I37" s="342"/>
    </row>
    <row r="38" spans="1:13" ht="14.6" hidden="1" x14ac:dyDescent="0.4">
      <c r="A38" s="342"/>
      <c r="B38" s="342"/>
      <c r="C38" s="342"/>
      <c r="D38" s="342"/>
      <c r="E38" s="342"/>
      <c r="F38" s="342"/>
      <c r="G38" s="342"/>
      <c r="H38" s="342"/>
      <c r="I38" s="342"/>
    </row>
    <row r="39" spans="1:13" ht="4.5" hidden="1" customHeight="1" x14ac:dyDescent="0.4">
      <c r="A39" s="342"/>
      <c r="B39" s="342"/>
      <c r="C39" s="342"/>
      <c r="D39" s="342"/>
      <c r="E39" s="342"/>
      <c r="F39" s="342"/>
      <c r="G39" s="342"/>
      <c r="H39" s="342"/>
      <c r="I39" s="342"/>
    </row>
    <row r="40" spans="1:13" hidden="1" x14ac:dyDescent="0.35">
      <c r="A40" s="477" t="s">
        <v>212</v>
      </c>
      <c r="B40" s="477"/>
      <c r="C40" s="477"/>
      <c r="D40" s="478"/>
      <c r="E40" s="481" t="s">
        <v>226</v>
      </c>
      <c r="F40" s="481"/>
      <c r="G40" s="343"/>
      <c r="H40" s="148" t="s">
        <v>283</v>
      </c>
      <c r="I40" s="148" t="s">
        <v>284</v>
      </c>
      <c r="J40" s="148" t="s">
        <v>291</v>
      </c>
      <c r="K40" s="148" t="s">
        <v>292</v>
      </c>
    </row>
    <row r="41" spans="1:13" ht="38.6" hidden="1" x14ac:dyDescent="0.35">
      <c r="A41" s="63"/>
      <c r="B41" s="237" t="s">
        <v>211</v>
      </c>
      <c r="C41" s="708" t="s">
        <v>225</v>
      </c>
      <c r="D41" s="708"/>
      <c r="E41" s="207" t="s">
        <v>253</v>
      </c>
      <c r="F41" s="238" t="str">
        <f>"Per person per "&amp;(IF(F17="daily","day",LEFT(F17,LEN(F17)-2)))&amp;" @ "&amp;(C29*100)&amp;"% activity"</f>
        <v>Per person per week @ 90% activity</v>
      </c>
      <c r="G41" s="148" t="s">
        <v>285</v>
      </c>
      <c r="H41" s="314">
        <f>SUM('Business Running Costs'!E7:E10)</f>
        <v>0</v>
      </c>
      <c r="I41" s="313">
        <f>SUM('Business Running Costs'!G7:G10)</f>
        <v>0</v>
      </c>
      <c r="J41" s="148" t="e">
        <f>(H41/$D$29)/$E$29</f>
        <v>#DIV/0!</v>
      </c>
      <c r="K41" s="148" t="e">
        <f>(I41/$D$29)/$E$29</f>
        <v>#DIV/0!</v>
      </c>
    </row>
    <row r="42" spans="1:13" hidden="1" x14ac:dyDescent="0.35">
      <c r="A42" s="334" t="str">
        <f>'Business Running Costs'!C68</f>
        <v>Gas</v>
      </c>
      <c r="B42" s="239">
        <f>'Business Running Costs'!D68</f>
        <v>0</v>
      </c>
      <c r="C42" s="716">
        <f>'Business Running Costs'!E68</f>
        <v>0</v>
      </c>
      <c r="D42" s="716"/>
      <c r="E42" s="223" t="e">
        <f>'Business Running Costs'!H68</f>
        <v>#VALUE!</v>
      </c>
      <c r="F42" s="240">
        <f>IFERROR((E42/$D$29)/$E$29,0)</f>
        <v>0</v>
      </c>
      <c r="G42" s="148" t="s">
        <v>293</v>
      </c>
      <c r="H42" s="344">
        <f>SUM('Business Running Costs'!E49:E51)</f>
        <v>0</v>
      </c>
      <c r="I42" s="314" t="e">
        <f>SUM('Business Running Costs'!G49,'Business Running Costs'!H68,'Business Running Costs'!G50,'Business Running Costs'!H69,'Business Running Costs'!G51)</f>
        <v>#VALUE!</v>
      </c>
      <c r="J42" s="148" t="e">
        <f t="shared" ref="J42:K45" si="1">(H42/$D$29)/$E$29</f>
        <v>#DIV/0!</v>
      </c>
      <c r="K42" s="148" t="e">
        <f t="shared" si="1"/>
        <v>#VALUE!</v>
      </c>
    </row>
    <row r="43" spans="1:13" hidden="1" x14ac:dyDescent="0.35">
      <c r="A43" s="334" t="str">
        <f>'Business Running Costs'!C69</f>
        <v>Electricity</v>
      </c>
      <c r="B43" s="239">
        <f>'Business Running Costs'!D69</f>
        <v>0</v>
      </c>
      <c r="C43" s="716">
        <f>'Business Running Costs'!E69</f>
        <v>0</v>
      </c>
      <c r="D43" s="716"/>
      <c r="E43" s="223" t="e">
        <f>'Business Running Costs'!H69</f>
        <v>#VALUE!</v>
      </c>
      <c r="F43" s="240">
        <f>IFERROR((E43/$D$29)/$E$29,0)</f>
        <v>0</v>
      </c>
      <c r="G43" s="148" t="s">
        <v>286</v>
      </c>
      <c r="H43" s="344">
        <f>'Business Running Costs'!E52</f>
        <v>0</v>
      </c>
      <c r="I43" s="119" t="e">
        <f>SUM('Business Running Costs'!G52+'Business Running Costs'!H70)</f>
        <v>#VALUE!</v>
      </c>
      <c r="J43" s="148" t="e">
        <f t="shared" si="1"/>
        <v>#DIV/0!</v>
      </c>
      <c r="K43" s="148" t="e">
        <f t="shared" si="1"/>
        <v>#VALUE!</v>
      </c>
    </row>
    <row r="44" spans="1:13" hidden="1" x14ac:dyDescent="0.35">
      <c r="A44" s="334" t="str">
        <f>'Business Running Costs'!C70</f>
        <v>Insurance</v>
      </c>
      <c r="B44" s="239">
        <f>'Business Running Costs'!D70</f>
        <v>0</v>
      </c>
      <c r="C44" s="716">
        <f>'Business Running Costs'!E70</f>
        <v>0</v>
      </c>
      <c r="D44" s="716"/>
      <c r="E44" s="223" t="e">
        <f>'Business Running Costs'!H70</f>
        <v>#VALUE!</v>
      </c>
      <c r="F44" s="240">
        <f>IFERROR((E44/$D$29)/$E$29,0)</f>
        <v>0</v>
      </c>
      <c r="G44" s="148" t="s">
        <v>287</v>
      </c>
      <c r="H44" s="344">
        <f>'Business Running Costs'!E34</f>
        <v>0</v>
      </c>
      <c r="I44" s="314" t="str">
        <f>'Business Running Costs'!G34</f>
        <v/>
      </c>
      <c r="J44" s="148" t="e">
        <f t="shared" si="1"/>
        <v>#DIV/0!</v>
      </c>
      <c r="K44" s="148" t="e">
        <f t="shared" si="1"/>
        <v>#VALUE!</v>
      </c>
    </row>
    <row r="45" spans="1:13" ht="17.05" hidden="1" customHeight="1" x14ac:dyDescent="0.35">
      <c r="A45" s="54"/>
      <c r="B45" s="54"/>
      <c r="C45" s="54"/>
      <c r="D45" s="54"/>
      <c r="E45" s="54"/>
      <c r="F45" s="224"/>
      <c r="G45" s="148" t="s">
        <v>288</v>
      </c>
      <c r="H45" s="344" t="e">
        <f>SUM('Business Running Costs'!E14:E16,'Business Running Costs'!#REF!,'Business Running Costs'!E38:E41)</f>
        <v>#REF!</v>
      </c>
      <c r="I45" s="314" t="e">
        <f>SUM('Business Running Costs'!G14:G16,'Business Running Costs'!#REF!,'Business Running Costs'!G38:G41)</f>
        <v>#REF!</v>
      </c>
      <c r="J45" s="148" t="e">
        <f t="shared" si="1"/>
        <v>#REF!</v>
      </c>
      <c r="K45" s="148" t="e">
        <f t="shared" si="1"/>
        <v>#REF!</v>
      </c>
    </row>
    <row r="46" spans="1:13" ht="30.55" hidden="1" customHeight="1" x14ac:dyDescent="0.35">
      <c r="A46" s="540" t="s">
        <v>216</v>
      </c>
      <c r="B46" s="540"/>
      <c r="C46" s="540"/>
      <c r="D46" s="243" t="s">
        <v>214</v>
      </c>
      <c r="E46" s="113" t="s">
        <v>254</v>
      </c>
      <c r="F46" s="238" t="str">
        <f>"Per person per "&amp;(IF(F17="daily","day",LEFT(F17,LEN(F17)-2)))&amp;" @ "&amp;(C29*100)&amp;"% activity"</f>
        <v>Per person per week @ 90% activity</v>
      </c>
      <c r="G46" s="314" t="s">
        <v>289</v>
      </c>
      <c r="H46" s="314" t="e">
        <f>SUM(H41:H45)</f>
        <v>#REF!</v>
      </c>
      <c r="I46" s="314" t="e">
        <f>SUM(I41:I45)</f>
        <v>#VALUE!</v>
      </c>
      <c r="J46" s="314" t="e">
        <f>SUM(J41:J45)</f>
        <v>#DIV/0!</v>
      </c>
      <c r="K46" s="314" t="e">
        <f>SUM(K41:K45)</f>
        <v>#DIV/0!</v>
      </c>
    </row>
    <row r="47" spans="1:13" hidden="1" x14ac:dyDescent="0.35">
      <c r="A47" s="484" t="s">
        <v>213</v>
      </c>
      <c r="B47" s="485"/>
      <c r="C47" s="485"/>
      <c r="D47" s="241"/>
      <c r="E47" s="223">
        <f>'Business Running Costs'!D80</f>
        <v>0</v>
      </c>
      <c r="F47" s="242">
        <f>IFERROR((E47/$D$29)/$E$29,0)</f>
        <v>0</v>
      </c>
    </row>
    <row r="48" spans="1:13" hidden="1" x14ac:dyDescent="0.35">
      <c r="A48" s="537" t="s">
        <v>215</v>
      </c>
      <c r="B48" s="537"/>
      <c r="C48" s="537"/>
      <c r="D48" s="239">
        <f>IFERROR((F48-F47)/F47,0)</f>
        <v>0</v>
      </c>
      <c r="E48" s="226">
        <f>'Business Running Costs'!E80</f>
        <v>0</v>
      </c>
      <c r="F48" s="242">
        <f>IFERROR((E48/$D$29)/$E$29,0)</f>
        <v>0</v>
      </c>
      <c r="G48" s="712"/>
      <c r="H48" s="713"/>
    </row>
    <row r="49" spans="1:15" hidden="1" x14ac:dyDescent="0.35">
      <c r="A49" s="537" t="str">
        <f>"Once all known increases impact. Projection as of "&amp;TEXT(MAXA(C42:D44,'Business Running Costs'!G3),"DD.MM.YY")</f>
        <v>Once all known increases impact. Projection as of 00.01.00</v>
      </c>
      <c r="B49" s="537"/>
      <c r="C49" s="537"/>
      <c r="D49" s="239">
        <f>IFERROR((F49-F47)/F47,0)</f>
        <v>0</v>
      </c>
      <c r="E49" s="226">
        <f>IFERROR(SUM('Business Running Costs'!A7:A41),0)</f>
        <v>0</v>
      </c>
      <c r="F49" s="242">
        <f>IFERROR((E49/$D$29)/$E$29,0)</f>
        <v>0</v>
      </c>
      <c r="G49" s="714"/>
      <c r="H49" s="715"/>
    </row>
    <row r="50" spans="1:15" hidden="1" x14ac:dyDescent="0.35">
      <c r="A50" s="225" t="s">
        <v>256</v>
      </c>
      <c r="B50" s="52"/>
      <c r="C50" s="52"/>
      <c r="D50" s="52"/>
      <c r="E50" s="52"/>
      <c r="F50" s="191"/>
    </row>
    <row r="51" spans="1:15" ht="54.55" customHeight="1" x14ac:dyDescent="0.35">
      <c r="A51" s="709" t="s">
        <v>294</v>
      </c>
      <c r="B51" s="709"/>
      <c r="C51" s="709"/>
      <c r="D51" s="709"/>
      <c r="E51" s="709"/>
      <c r="F51" s="709"/>
      <c r="G51" s="709"/>
      <c r="H51" s="709"/>
      <c r="I51" s="709"/>
      <c r="J51" s="709"/>
      <c r="K51" s="709"/>
      <c r="L51" s="709"/>
      <c r="M51" s="319"/>
      <c r="N51" s="319"/>
    </row>
    <row r="52" spans="1:15" ht="42.55" customHeight="1" x14ac:dyDescent="0.35">
      <c r="A52" s="643" t="s">
        <v>326</v>
      </c>
      <c r="B52" s="643"/>
      <c r="C52" s="643"/>
      <c r="D52" s="643"/>
      <c r="E52" s="643"/>
      <c r="F52" s="643"/>
      <c r="G52" s="643"/>
      <c r="H52" s="643"/>
      <c r="I52" s="643"/>
      <c r="J52" s="643"/>
      <c r="K52" s="643"/>
      <c r="L52" s="643"/>
      <c r="M52" s="118"/>
      <c r="N52" s="118"/>
    </row>
    <row r="53" spans="1:15" ht="27" customHeight="1" x14ac:dyDescent="0.35">
      <c r="A53" s="710" t="s">
        <v>281</v>
      </c>
      <c r="B53" s="710"/>
      <c r="C53" s="710"/>
      <c r="D53" s="710"/>
      <c r="E53" s="710"/>
      <c r="F53" s="710"/>
      <c r="G53" s="710"/>
      <c r="H53" s="710"/>
      <c r="I53" s="710"/>
      <c r="J53" s="710"/>
      <c r="K53" s="710"/>
      <c r="L53" s="710"/>
      <c r="M53" s="118"/>
      <c r="N53" s="118"/>
    </row>
    <row r="54" spans="1:15" ht="37.5" customHeight="1" x14ac:dyDescent="0.35">
      <c r="A54" s="719" t="s">
        <v>276</v>
      </c>
      <c r="B54" s="719" t="s">
        <v>280</v>
      </c>
      <c r="C54" s="719" t="s">
        <v>268</v>
      </c>
      <c r="D54" s="717" t="s">
        <v>325</v>
      </c>
      <c r="E54" s="717"/>
      <c r="F54" s="717"/>
      <c r="G54" s="720" t="s">
        <v>273</v>
      </c>
      <c r="H54" s="720" t="s">
        <v>297</v>
      </c>
      <c r="I54" s="720" t="s">
        <v>270</v>
      </c>
      <c r="J54" s="720" t="s">
        <v>296</v>
      </c>
      <c r="K54" s="720" t="s">
        <v>269</v>
      </c>
      <c r="L54" s="718" t="s">
        <v>324</v>
      </c>
      <c r="M54" s="118"/>
      <c r="N54" s="118"/>
    </row>
    <row r="55" spans="1:15" s="118" customFormat="1" ht="104.15" x14ac:dyDescent="0.35">
      <c r="A55" s="719"/>
      <c r="B55" s="719"/>
      <c r="C55" s="719"/>
      <c r="D55" s="324" t="s">
        <v>271</v>
      </c>
      <c r="E55" s="325" t="s">
        <v>272</v>
      </c>
      <c r="F55" s="324" t="s">
        <v>290</v>
      </c>
      <c r="G55" s="720"/>
      <c r="H55" s="720"/>
      <c r="I55" s="720"/>
      <c r="J55" s="720"/>
      <c r="K55" s="720"/>
      <c r="L55" s="718"/>
      <c r="O55" s="118" t="s">
        <v>299</v>
      </c>
    </row>
    <row r="56" spans="1:15" ht="27.55" customHeight="1" x14ac:dyDescent="0.35">
      <c r="A56" s="345" t="s">
        <v>298</v>
      </c>
      <c r="B56" s="346" t="s">
        <v>295</v>
      </c>
      <c r="C56" s="345" t="s">
        <v>295</v>
      </c>
      <c r="D56" s="320">
        <f>IFERROR(((SUM(H41:H44))/$D$29)/$E$29,0)</f>
        <v>0</v>
      </c>
      <c r="E56" s="323">
        <f>F36</f>
        <v>0</v>
      </c>
      <c r="F56" s="320">
        <f>IFERROR(((SUM(I41:I44))/$D$29)/$E$29,0)</f>
        <v>0</v>
      </c>
      <c r="G56" s="321">
        <f>IFERROR(((I41-H41)/H41),0)</f>
        <v>0</v>
      </c>
      <c r="H56" s="322">
        <f>'About your business'!B38</f>
        <v>0</v>
      </c>
      <c r="I56" s="322">
        <f>'About your business'!B39</f>
        <v>0</v>
      </c>
      <c r="J56" s="321">
        <f>IFERROR(((I44-H44)/H44),0)</f>
        <v>0</v>
      </c>
      <c r="K56" s="322">
        <f>'About your business'!B40</f>
        <v>0</v>
      </c>
      <c r="L56" s="326">
        <f>IFERROR(SUM(K45-J45),0)</f>
        <v>0</v>
      </c>
      <c r="O56" s="148">
        <f>'About your business'!F21</f>
        <v>0</v>
      </c>
    </row>
    <row r="57" spans="1:15" x14ac:dyDescent="0.35">
      <c r="G57" s="14"/>
      <c r="H57" s="14"/>
    </row>
    <row r="58" spans="1:15" x14ac:dyDescent="0.35">
      <c r="G58" s="14"/>
      <c r="H58" s="14"/>
    </row>
  </sheetData>
  <mergeCells count="62">
    <mergeCell ref="D54:F54"/>
    <mergeCell ref="L54:L55"/>
    <mergeCell ref="A54:A55"/>
    <mergeCell ref="B54:B55"/>
    <mergeCell ref="C54:C55"/>
    <mergeCell ref="G54:G55"/>
    <mergeCell ref="H54:H55"/>
    <mergeCell ref="I54:I55"/>
    <mergeCell ref="K54:K55"/>
    <mergeCell ref="J54:J55"/>
    <mergeCell ref="A51:L51"/>
    <mergeCell ref="A52:L52"/>
    <mergeCell ref="A53:L53"/>
    <mergeCell ref="A35:B35"/>
    <mergeCell ref="C35:D35"/>
    <mergeCell ref="C36:D36"/>
    <mergeCell ref="A40:D40"/>
    <mergeCell ref="E40:F40"/>
    <mergeCell ref="G48:H48"/>
    <mergeCell ref="A49:C49"/>
    <mergeCell ref="G49:H49"/>
    <mergeCell ref="C42:D42"/>
    <mergeCell ref="C43:D43"/>
    <mergeCell ref="C44:D44"/>
    <mergeCell ref="A46:C46"/>
    <mergeCell ref="A47:C47"/>
    <mergeCell ref="A48:C48"/>
    <mergeCell ref="A29:B29"/>
    <mergeCell ref="C32:D32"/>
    <mergeCell ref="A33:B33"/>
    <mergeCell ref="C33:D33"/>
    <mergeCell ref="A34:B34"/>
    <mergeCell ref="C34:D34"/>
    <mergeCell ref="C41:D41"/>
    <mergeCell ref="A19:E19"/>
    <mergeCell ref="A20:E20"/>
    <mergeCell ref="A21:E21"/>
    <mergeCell ref="A22:F22"/>
    <mergeCell ref="A23:E23"/>
    <mergeCell ref="C11:F11"/>
    <mergeCell ref="A12:B13"/>
    <mergeCell ref="C12:D12"/>
    <mergeCell ref="C13:D13"/>
    <mergeCell ref="A14:B15"/>
    <mergeCell ref="C14:D14"/>
    <mergeCell ref="C15:D15"/>
    <mergeCell ref="H31:I31"/>
    <mergeCell ref="F31:G31"/>
    <mergeCell ref="A2:F2"/>
    <mergeCell ref="A3:F3"/>
    <mergeCell ref="A5:B5"/>
    <mergeCell ref="C5:F5"/>
    <mergeCell ref="A6:B6"/>
    <mergeCell ref="C6:F6"/>
    <mergeCell ref="A7:B7"/>
    <mergeCell ref="C7:F7"/>
    <mergeCell ref="A8:B8"/>
    <mergeCell ref="C8:F8"/>
    <mergeCell ref="A9:B9"/>
    <mergeCell ref="C9:F9"/>
    <mergeCell ref="A24:E24"/>
    <mergeCell ref="A11:B11"/>
  </mergeCells>
  <conditionalFormatting sqref="A22:F24">
    <cfRule type="expression" dxfId="62" priority="4">
      <formula>$F$10=TRUE</formula>
    </cfRule>
  </conditionalFormatting>
  <conditionalFormatting sqref="A22:F22">
    <cfRule type="expression" dxfId="61" priority="3">
      <formula>$F$10=TRUE</formula>
    </cfRule>
  </conditionalFormatting>
  <conditionalFormatting sqref="A20:F21">
    <cfRule type="expression" dxfId="60" priority="2">
      <formula>$F$10=FALSE</formula>
    </cfRule>
  </conditionalFormatting>
  <conditionalFormatting sqref="A41:F45 A49:F49 A40 E40:F40">
    <cfRule type="expression" dxfId="59" priority="1">
      <formula>#REF!=FALSE</formula>
    </cfRule>
  </conditionalFormatting>
  <dataValidations count="2">
    <dataValidation type="list" errorStyle="information" allowBlank="1" showInputMessage="1" showErrorMessage="1" errorTitle="Other types of care" error="Please select the option from the drop down, and only enter an alternative if non of the options fit." sqref="C12:D15" xr:uid="{090018DD-6E66-4E1F-AD3A-429581C4B139}">
      <formula1>#REF!</formula1>
    </dataValidation>
    <dataValidation type="list" allowBlank="1" showInputMessage="1" showErrorMessage="1" sqref="C56" xr:uid="{B55BEBD9-D954-4549-A076-41F5481544A6}">
      <formula1>"Nursing, Dementia nursing, Dementia care, Care"</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4">
        <x14:dataValidation type="list" errorStyle="information" allowBlank="1" showInputMessage="1" showErrorMessage="1" errorTitle="Other types of care" error="Please select the option from the drop down, and only enter an alternative if non of the options fit." xr:uid="{952B4BC4-6F89-4FF4-853A-AB9D22ECB085}">
          <x14:formula1>
            <xm:f>DropDownLists!$C$5:$C$11</xm:f>
          </x14:formula1>
          <xm:sqref>E12:F13</xm:sqref>
        </x14:dataValidation>
        <x14:dataValidation type="list" allowBlank="1" showInputMessage="1" showErrorMessage="1" xr:uid="{1E8890D6-4D78-48B0-87DD-402065A1D9FA}">
          <x14:formula1>
            <xm:f>DropDownLists!$A$5:$A$9</xm:f>
          </x14:formula1>
          <xm:sqref>C11:F11</xm:sqref>
        </x14:dataValidation>
        <x14:dataValidation type="list" allowBlank="1" showInputMessage="1" showErrorMessage="1" xr:uid="{26B1E7D3-A4FB-4F30-BDD2-AF2B8C316FC5}">
          <x14:formula1>
            <xm:f>DropDownLists!$D$5:$D$25</xm:f>
          </x14:formula1>
          <xm:sqref>F17</xm:sqref>
        </x14:dataValidation>
        <x14:dataValidation type="list" allowBlank="1" showInputMessage="1" showErrorMessage="1" xr:uid="{05E4D5A3-05DE-44D6-9873-6415009C4767}">
          <x14:formula1>
            <xm:f>DropDownLists!$B$5:$B$32</xm:f>
          </x14:formula1>
          <xm:sqref>E14:F15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D5BD3-73FB-4317-8DF2-713D7DE8DFBF}">
  <dimension ref="A5:L13"/>
  <sheetViews>
    <sheetView workbookViewId="0">
      <selection activeCell="M29" sqref="M29"/>
    </sheetView>
  </sheetViews>
  <sheetFormatPr defaultRowHeight="14.6" x14ac:dyDescent="0.4"/>
  <cols>
    <col min="9" max="9" width="29.15234375" customWidth="1"/>
  </cols>
  <sheetData>
    <row r="5" spans="1:12" x14ac:dyDescent="0.4">
      <c r="A5" t="s">
        <v>13</v>
      </c>
      <c r="B5" t="s">
        <v>5</v>
      </c>
      <c r="C5" t="s">
        <v>24</v>
      </c>
      <c r="D5" t="s">
        <v>14</v>
      </c>
      <c r="E5" t="s">
        <v>19</v>
      </c>
      <c r="F5" t="s">
        <v>40</v>
      </c>
      <c r="H5" t="s">
        <v>94</v>
      </c>
      <c r="I5" t="s">
        <v>162</v>
      </c>
      <c r="J5">
        <v>12</v>
      </c>
      <c r="K5" t="s">
        <v>170</v>
      </c>
      <c r="L5" t="s">
        <v>172</v>
      </c>
    </row>
    <row r="6" spans="1:12" x14ac:dyDescent="0.4">
      <c r="A6" t="s">
        <v>11</v>
      </c>
      <c r="B6" t="s">
        <v>6</v>
      </c>
      <c r="C6" t="s">
        <v>25</v>
      </c>
      <c r="D6" t="s">
        <v>15</v>
      </c>
      <c r="E6" t="s">
        <v>22</v>
      </c>
      <c r="F6" t="s">
        <v>58</v>
      </c>
      <c r="H6" t="s">
        <v>95</v>
      </c>
      <c r="I6" t="s">
        <v>163</v>
      </c>
      <c r="J6">
        <v>19</v>
      </c>
      <c r="K6" t="s">
        <v>169</v>
      </c>
      <c r="L6" t="s">
        <v>173</v>
      </c>
    </row>
    <row r="7" spans="1:12" x14ac:dyDescent="0.4">
      <c r="A7" t="s">
        <v>82</v>
      </c>
      <c r="B7" t="s">
        <v>9</v>
      </c>
      <c r="C7" t="s">
        <v>26</v>
      </c>
      <c r="D7" t="s">
        <v>16</v>
      </c>
      <c r="E7" t="s">
        <v>20</v>
      </c>
      <c r="F7" t="s">
        <v>38</v>
      </c>
      <c r="I7" t="s">
        <v>168</v>
      </c>
      <c r="J7">
        <v>23</v>
      </c>
      <c r="K7" t="e">
        <f>IF(PackageCostCalculator!#REF!="no","","Traveling")</f>
        <v>#REF!</v>
      </c>
    </row>
    <row r="8" spans="1:12" x14ac:dyDescent="0.4">
      <c r="A8" t="s">
        <v>10</v>
      </c>
      <c r="B8" t="s">
        <v>7</v>
      </c>
      <c r="C8" t="s">
        <v>27</v>
      </c>
      <c r="D8" t="s">
        <v>17</v>
      </c>
      <c r="E8" t="s">
        <v>23</v>
      </c>
      <c r="F8" t="s">
        <v>39</v>
      </c>
      <c r="I8" t="s">
        <v>164</v>
      </c>
      <c r="J8">
        <v>29</v>
      </c>
    </row>
    <row r="9" spans="1:12" x14ac:dyDescent="0.4">
      <c r="A9" t="s">
        <v>83</v>
      </c>
      <c r="B9" t="s">
        <v>8</v>
      </c>
      <c r="C9" t="s">
        <v>28</v>
      </c>
      <c r="D9" t="s">
        <v>18</v>
      </c>
      <c r="E9" t="s">
        <v>21</v>
      </c>
      <c r="F9" t="s">
        <v>188</v>
      </c>
      <c r="I9" t="s">
        <v>165</v>
      </c>
      <c r="J9">
        <v>38</v>
      </c>
    </row>
    <row r="10" spans="1:12" x14ac:dyDescent="0.4">
      <c r="B10" t="s">
        <v>30</v>
      </c>
      <c r="C10" t="s">
        <v>29</v>
      </c>
      <c r="I10" t="s">
        <v>166</v>
      </c>
      <c r="J10">
        <v>48</v>
      </c>
    </row>
    <row r="11" spans="1:12" x14ac:dyDescent="0.4">
      <c r="B11" t="s">
        <v>34</v>
      </c>
      <c r="I11" t="s">
        <v>167</v>
      </c>
      <c r="J11">
        <v>60</v>
      </c>
    </row>
    <row r="12" spans="1:12" x14ac:dyDescent="0.4">
      <c r="B12" t="s">
        <v>32</v>
      </c>
    </row>
    <row r="13" spans="1:12" x14ac:dyDescent="0.4">
      <c r="B13" t="s">
        <v>33</v>
      </c>
    </row>
  </sheetData>
  <sheetProtection algorithmName="SHA-512" hashValue="jnYhn0PpbLRlbPQAss7Iok6ME+A2MgVxdDIkUa3FZwRWtEfnXJKjaoBCNLUqRp2+bbl0RPWHY08VcGJ8Q3pNmg==" saltValue="mULgrXzgnhgJnbd/lCZ1u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2E963-8D0C-462D-A44D-9EA309F17D46}">
  <sheetPr>
    <tabColor theme="9"/>
  </sheetPr>
  <dimension ref="A1:AB138"/>
  <sheetViews>
    <sheetView view="pageLayout" zoomScale="120" zoomScaleNormal="100" zoomScalePageLayoutView="120" workbookViewId="0">
      <selection activeCell="I11" sqref="I11"/>
    </sheetView>
  </sheetViews>
  <sheetFormatPr defaultColWidth="8.84375" defaultRowHeight="12.9" x14ac:dyDescent="0.35"/>
  <cols>
    <col min="1" max="1" width="27.15234375" style="148" customWidth="1"/>
    <col min="2" max="2" width="27.84375" style="8" customWidth="1"/>
    <col min="3" max="3" width="9.84375" style="148" customWidth="1"/>
    <col min="4" max="5" width="10.15234375" style="148" customWidth="1"/>
    <col min="6" max="6" width="5" style="148" customWidth="1"/>
    <col min="7" max="7" width="8.4609375" style="148" customWidth="1"/>
    <col min="8" max="8" width="8.84375" style="148" customWidth="1"/>
    <col min="9" max="10" width="10.53515625" style="148" customWidth="1"/>
    <col min="11" max="11" width="13.4609375" style="148" customWidth="1"/>
    <col min="12" max="14" width="0.53515625" style="65" hidden="1" customWidth="1"/>
    <col min="15" max="15" width="27.15234375" style="148" customWidth="1"/>
    <col min="16" max="16" width="27.84375" style="148" customWidth="1"/>
    <col min="17" max="18" width="9.84375" style="148" customWidth="1"/>
    <col min="19" max="19" width="10.84375" style="148" customWidth="1"/>
    <col min="20" max="20" width="5" style="148" customWidth="1"/>
    <col min="21" max="21" width="8.4609375" style="148" customWidth="1"/>
    <col min="22" max="22" width="8.84375" style="148" customWidth="1"/>
    <col min="23" max="25" width="10.53515625" style="148" customWidth="1"/>
    <col min="26" max="28" width="0.15234375" style="70" customWidth="1"/>
    <col min="29" max="16384" width="8.84375" style="148"/>
  </cols>
  <sheetData>
    <row r="1" spans="1:28" ht="32.5" customHeight="1" x14ac:dyDescent="0.35">
      <c r="A1" s="550"/>
      <c r="B1" s="550"/>
      <c r="C1" s="550"/>
      <c r="D1" s="550"/>
      <c r="E1" s="550"/>
      <c r="F1" s="550"/>
      <c r="G1" s="550"/>
      <c r="H1" s="550"/>
      <c r="I1" s="550"/>
      <c r="J1" s="550"/>
      <c r="K1" s="550"/>
      <c r="L1" s="127"/>
      <c r="M1" s="127"/>
      <c r="N1" s="127"/>
      <c r="O1" s="52"/>
      <c r="P1" s="52"/>
      <c r="Q1" s="52"/>
      <c r="R1" s="52"/>
      <c r="S1" s="52"/>
      <c r="T1" s="52"/>
      <c r="U1" s="52"/>
      <c r="V1" s="52"/>
      <c r="W1" s="52"/>
      <c r="X1" s="52"/>
      <c r="Y1" s="52"/>
    </row>
    <row r="2" spans="1:28" ht="37.5" customHeight="1" x14ac:dyDescent="0.35">
      <c r="A2" s="52"/>
      <c r="B2" s="393"/>
      <c r="C2" s="162" t="s">
        <v>47</v>
      </c>
      <c r="D2" s="163" t="s">
        <v>48</v>
      </c>
      <c r="E2" s="163" t="s">
        <v>183</v>
      </c>
      <c r="F2" s="53"/>
      <c r="G2" s="52"/>
      <c r="H2" s="552" t="s">
        <v>101</v>
      </c>
      <c r="I2" s="552"/>
      <c r="J2" s="552"/>
      <c r="K2" s="52"/>
      <c r="L2" s="127"/>
      <c r="M2" s="127"/>
      <c r="N2" s="127"/>
      <c r="O2" s="52"/>
      <c r="P2" s="393"/>
      <c r="Q2" s="162" t="s">
        <v>47</v>
      </c>
      <c r="R2" s="163" t="s">
        <v>48</v>
      </c>
      <c r="S2" s="163" t="s">
        <v>183</v>
      </c>
      <c r="T2" s="53"/>
      <c r="U2" s="543" t="s">
        <v>101</v>
      </c>
      <c r="V2" s="543"/>
      <c r="W2" s="543"/>
      <c r="X2" s="543"/>
      <c r="Y2" s="47"/>
    </row>
    <row r="3" spans="1:28" ht="15" customHeight="1" x14ac:dyDescent="0.35">
      <c r="A3" s="161" t="e">
        <f>E3/$F$6</f>
        <v>#DIV/0!</v>
      </c>
      <c r="B3" s="393" t="s">
        <v>45</v>
      </c>
      <c r="C3" s="167">
        <f>SUMIFS(Table1['# FTE staff in role],Table1[Role type],B3)</f>
        <v>0</v>
      </c>
      <c r="D3" s="168">
        <f>SUMIFS(Table1[Combined hrs per week],Table1[Role type],B3)</f>
        <v>0</v>
      </c>
      <c r="E3" s="169">
        <f>SUMIFS(Table1[Total Wage],Table1[Role type],B3)</f>
        <v>0</v>
      </c>
      <c r="F3" s="52"/>
      <c r="G3" s="52"/>
      <c r="H3" s="544" t="s">
        <v>50</v>
      </c>
      <c r="I3" s="544"/>
      <c r="J3" s="165">
        <v>365</v>
      </c>
      <c r="K3" s="50">
        <f>J3-(J4+J5)</f>
        <v>357</v>
      </c>
      <c r="L3" s="137"/>
      <c r="M3" s="137"/>
      <c r="N3" s="137"/>
      <c r="O3" s="161" t="e">
        <f>S3/$T$6</f>
        <v>#DIV/0!</v>
      </c>
      <c r="P3" s="393" t="s">
        <v>45</v>
      </c>
      <c r="Q3" s="167">
        <f>SUMIFS(Table14[Revised '# Staff in role],Table14[Role Type],P3)</f>
        <v>0</v>
      </c>
      <c r="R3" s="168">
        <f>SUMIFS(Table14[Revised Combined hrs per week],Table14[Role Type],P3)</f>
        <v>0</v>
      </c>
      <c r="S3" s="171">
        <f>SUMIFS(Table14[Total Wage],Table14[Role Type],P3)</f>
        <v>0</v>
      </c>
      <c r="T3" s="52"/>
      <c r="U3" s="544" t="s">
        <v>50</v>
      </c>
      <c r="V3" s="544"/>
      <c r="W3" s="544"/>
      <c r="X3" s="175">
        <v>365</v>
      </c>
      <c r="Y3" s="50">
        <f>X3-(X4+X5)</f>
        <v>357</v>
      </c>
    </row>
    <row r="4" spans="1:28" ht="15" customHeight="1" x14ac:dyDescent="0.35">
      <c r="A4" s="161" t="e">
        <f t="shared" ref="A4:A5" si="0">E4/$F$6</f>
        <v>#DIV/0!</v>
      </c>
      <c r="B4" s="393" t="s">
        <v>46</v>
      </c>
      <c r="C4" s="167">
        <f>SUMIFS(Table1['# FTE staff in role],Table1[Role type],B4)</f>
        <v>0</v>
      </c>
      <c r="D4" s="168">
        <f>SUMIFS(Table1[Combined hrs per week],Table1[Role type],B4)</f>
        <v>0</v>
      </c>
      <c r="E4" s="169">
        <f>SUMIFS(Table1[Total Wage],Table1[Role type],B4)</f>
        <v>0</v>
      </c>
      <c r="F4" s="47"/>
      <c r="G4" s="52"/>
      <c r="H4" s="392" t="s">
        <v>102</v>
      </c>
      <c r="I4" s="392"/>
      <c r="J4" s="174">
        <v>6</v>
      </c>
      <c r="K4" s="96"/>
      <c r="L4" s="127"/>
      <c r="M4" s="127"/>
      <c r="N4" s="127"/>
      <c r="O4" s="161" t="e">
        <f t="shared" ref="O4:O7" si="1">S4/$T$6</f>
        <v>#DIV/0!</v>
      </c>
      <c r="P4" s="393" t="s">
        <v>46</v>
      </c>
      <c r="Q4" s="167">
        <f>SUMIFS(Table14[Revised '# Staff in role],Table14[Role Type],P4)</f>
        <v>0</v>
      </c>
      <c r="R4" s="168">
        <f>SUMIFS(Table14[Revised Combined hrs per week],Table14[Role Type],P4)</f>
        <v>0</v>
      </c>
      <c r="S4" s="171">
        <f>SUMIFS(Table14[Total Wage],Table14[Role Type],P4)</f>
        <v>0</v>
      </c>
      <c r="T4" s="47"/>
      <c r="U4" s="545" t="s">
        <v>102</v>
      </c>
      <c r="V4" s="545"/>
      <c r="W4" s="545"/>
      <c r="X4" s="174">
        <v>6</v>
      </c>
      <c r="Y4" s="150"/>
    </row>
    <row r="5" spans="1:28" ht="15" customHeight="1" x14ac:dyDescent="0.35">
      <c r="A5" s="161" t="e">
        <f t="shared" si="0"/>
        <v>#DIV/0!</v>
      </c>
      <c r="B5" s="393" t="s">
        <v>59</v>
      </c>
      <c r="C5" s="167">
        <f>SUMIFS(Table1['# FTE staff in role],Table1[Role type],B5)</f>
        <v>0</v>
      </c>
      <c r="D5" s="168">
        <f>SUMIFS(Table1[Combined hrs per week],Table1[Role type],B5)</f>
        <v>0</v>
      </c>
      <c r="E5" s="169">
        <f>SUMIFS(Table1[Total Wage],Table1[Role type],B5)</f>
        <v>0</v>
      </c>
      <c r="F5" s="48">
        <f>SUM(D3:D6)</f>
        <v>0</v>
      </c>
      <c r="G5" s="52"/>
      <c r="H5" s="172" t="s">
        <v>103</v>
      </c>
      <c r="I5" s="172"/>
      <c r="J5" s="173">
        <v>2</v>
      </c>
      <c r="K5" s="96"/>
      <c r="L5" s="127"/>
      <c r="M5" s="127"/>
      <c r="N5" s="127"/>
      <c r="O5" s="161" t="e">
        <f t="shared" si="1"/>
        <v>#DIV/0!</v>
      </c>
      <c r="P5" s="393" t="s">
        <v>59</v>
      </c>
      <c r="Q5" s="167">
        <f>SUMIFS(Table14[Revised '# Staff in role],Table14[Role Type],P5)</f>
        <v>0</v>
      </c>
      <c r="R5" s="168">
        <f>SUMIFS(Table14[Revised Combined hrs per week],Table14[Role Type],P5)</f>
        <v>0</v>
      </c>
      <c r="S5" s="171">
        <f>SUMIFS(Table14[Total Wage],Table14[Role Type],P5)</f>
        <v>0</v>
      </c>
      <c r="T5" s="48">
        <f>SUM(R3:R6)</f>
        <v>0</v>
      </c>
      <c r="U5" s="545" t="s">
        <v>103</v>
      </c>
      <c r="V5" s="545"/>
      <c r="W5" s="545"/>
      <c r="X5" s="166">
        <v>2</v>
      </c>
      <c r="Y5" s="96"/>
    </row>
    <row r="6" spans="1:28" ht="15" customHeight="1" x14ac:dyDescent="0.35">
      <c r="A6" s="161" t="e">
        <f>E6/$F$6</f>
        <v>#DIV/0!</v>
      </c>
      <c r="B6" s="393" t="s">
        <v>60</v>
      </c>
      <c r="C6" s="167">
        <f>SUMIFS(Table1['# FTE staff in role],Table1[Role type],B6)</f>
        <v>0</v>
      </c>
      <c r="D6" s="168">
        <f>SUMIFS(Table1[Combined hrs per week],Table1[Role type],B6)</f>
        <v>0</v>
      </c>
      <c r="E6" s="169">
        <f>SUMIFS(Table1[Total Wage],Table1[Role type],B6)</f>
        <v>0</v>
      </c>
      <c r="F6" s="49">
        <f>SUM(E3:E7)</f>
        <v>0</v>
      </c>
      <c r="G6" s="54"/>
      <c r="H6" s="558" t="s">
        <v>104</v>
      </c>
      <c r="I6" s="558"/>
      <c r="J6" s="176">
        <v>0.12</v>
      </c>
      <c r="K6" s="96"/>
      <c r="L6" s="127"/>
      <c r="M6" s="127"/>
      <c r="N6" s="127"/>
      <c r="O6" s="161" t="e">
        <f t="shared" si="1"/>
        <v>#DIV/0!</v>
      </c>
      <c r="P6" s="393" t="s">
        <v>60</v>
      </c>
      <c r="Q6" s="167">
        <f>SUMIFS(Table14[Revised '# Staff in role],Table14[Role Type],P6)</f>
        <v>0</v>
      </c>
      <c r="R6" s="168">
        <f>SUMIFS(Table14[Revised Combined hrs per week],Table14[Role Type],P6)</f>
        <v>0</v>
      </c>
      <c r="S6" s="171">
        <f>SUMIFS(Table14[Total Wage],Table14[Role Type],P6)</f>
        <v>0</v>
      </c>
      <c r="T6" s="49">
        <f>SUM(S3:S7)</f>
        <v>0</v>
      </c>
      <c r="U6" s="546" t="s">
        <v>104</v>
      </c>
      <c r="V6" s="546"/>
      <c r="W6" s="546"/>
      <c r="X6" s="176">
        <v>0.12</v>
      </c>
      <c r="Y6" s="96"/>
    </row>
    <row r="7" spans="1:28" ht="15" customHeight="1" x14ac:dyDescent="0.35">
      <c r="A7" s="161" t="e">
        <f>E7/$F$6</f>
        <v>#DIV/0!</v>
      </c>
      <c r="B7" s="393" t="s">
        <v>189</v>
      </c>
      <c r="C7" s="167">
        <f>SUMIFS(Table1['# FTE staff in role],Table1[Role type],B7)</f>
        <v>0</v>
      </c>
      <c r="D7" s="168">
        <f>SUMIFS(Table1[Combined hrs per week],Table1[Role type],B7)</f>
        <v>0</v>
      </c>
      <c r="E7" s="169">
        <f>SUMIFS(Table1[Total Wage],Table1[Role type],B7)</f>
        <v>0</v>
      </c>
      <c r="F7" s="49"/>
      <c r="G7" s="54"/>
      <c r="H7" s="52"/>
      <c r="I7" s="52"/>
      <c r="J7" s="159"/>
      <c r="K7" s="96"/>
      <c r="L7" s="127"/>
      <c r="M7" s="127"/>
      <c r="N7" s="127"/>
      <c r="O7" s="161" t="e">
        <f t="shared" si="1"/>
        <v>#DIV/0!</v>
      </c>
      <c r="P7" s="393" t="s">
        <v>189</v>
      </c>
      <c r="Q7" s="167">
        <f>SUMIFS(Table14[Revised '# Staff in role],Table14[Role Type],P7)</f>
        <v>0</v>
      </c>
      <c r="R7" s="168">
        <f>SUMIFS(Table14[Revised Combined hrs per week],Table14[Role Type],P7)</f>
        <v>0</v>
      </c>
      <c r="S7" s="171">
        <f>SUMIFS(Table14[Total Wage],Table14[Role Type],P7)</f>
        <v>0</v>
      </c>
      <c r="T7" s="49"/>
      <c r="U7" s="52"/>
      <c r="V7" s="52"/>
      <c r="W7" s="52"/>
      <c r="X7" s="159"/>
      <c r="Y7" s="96"/>
    </row>
    <row r="8" spans="1:28" ht="15" customHeight="1" x14ac:dyDescent="0.35">
      <c r="A8" s="161"/>
      <c r="B8" s="170" t="s">
        <v>190</v>
      </c>
      <c r="C8" s="162">
        <f>SUM(C3:C7)</f>
        <v>0</v>
      </c>
      <c r="D8" s="164">
        <f>SUM(D3:D7)</f>
        <v>0</v>
      </c>
      <c r="E8" s="296">
        <f>SUM(E3:E7)</f>
        <v>0</v>
      </c>
      <c r="F8" s="49"/>
      <c r="G8" s="54"/>
      <c r="H8" s="52"/>
      <c r="I8" s="52"/>
      <c r="J8" s="159"/>
      <c r="K8" s="96"/>
      <c r="L8" s="127"/>
      <c r="M8" s="127"/>
      <c r="N8" s="127"/>
      <c r="O8" s="161"/>
      <c r="P8" s="170" t="s">
        <v>190</v>
      </c>
      <c r="Q8" s="162">
        <f>SUM(Q3:Q7)</f>
        <v>0</v>
      </c>
      <c r="R8" s="164">
        <f>SUM(R3:R7)</f>
        <v>0</v>
      </c>
      <c r="S8" s="296">
        <f>SUM(S3:S7)</f>
        <v>0</v>
      </c>
      <c r="T8" s="49"/>
      <c r="U8" s="548" t="s">
        <v>192</v>
      </c>
      <c r="V8" s="548"/>
      <c r="W8" s="549">
        <f>S8-E8</f>
        <v>0</v>
      </c>
      <c r="X8" s="549"/>
      <c r="Y8" s="96"/>
    </row>
    <row r="9" spans="1:28" ht="91.5" customHeight="1" x14ac:dyDescent="0.35">
      <c r="A9" s="547" t="s">
        <v>302</v>
      </c>
      <c r="B9" s="547"/>
      <c r="C9" s="547"/>
      <c r="D9" s="547"/>
      <c r="E9" s="547"/>
      <c r="F9" s="556"/>
      <c r="G9" s="551" t="s">
        <v>301</v>
      </c>
      <c r="H9" s="551"/>
      <c r="I9" s="551"/>
      <c r="J9" s="551"/>
      <c r="K9" s="551"/>
      <c r="L9" s="138"/>
      <c r="M9" s="138"/>
      <c r="N9" s="138"/>
      <c r="O9" s="547" t="s">
        <v>387</v>
      </c>
      <c r="P9" s="547"/>
      <c r="Q9" s="547"/>
      <c r="R9" s="547"/>
      <c r="S9" s="547"/>
      <c r="T9" s="547"/>
      <c r="U9" s="547"/>
      <c r="V9" s="547"/>
      <c r="W9" s="547"/>
      <c r="X9" s="547"/>
      <c r="Y9" s="547"/>
    </row>
    <row r="10" spans="1:28" ht="18.649999999999999" customHeight="1" thickBot="1" x14ac:dyDescent="0.4">
      <c r="A10" s="547"/>
      <c r="B10" s="547"/>
      <c r="C10" s="547"/>
      <c r="D10" s="547"/>
      <c r="E10" s="547"/>
      <c r="F10" s="556"/>
      <c r="G10" s="551"/>
      <c r="H10" s="551"/>
      <c r="I10" s="551"/>
      <c r="J10" s="551"/>
      <c r="K10" s="551"/>
      <c r="L10" s="138"/>
      <c r="M10" s="138"/>
      <c r="N10" s="138"/>
      <c r="O10" s="547"/>
      <c r="P10" s="547"/>
      <c r="Q10" s="547"/>
      <c r="R10" s="547"/>
      <c r="S10" s="547"/>
      <c r="T10" s="547"/>
      <c r="U10" s="547"/>
      <c r="V10" s="547"/>
      <c r="W10" s="547"/>
      <c r="X10" s="547"/>
      <c r="Y10" s="547"/>
    </row>
    <row r="11" spans="1:28" ht="18.649999999999999" customHeight="1" thickBot="1" x14ac:dyDescent="0.4">
      <c r="A11" s="547"/>
      <c r="B11" s="547"/>
      <c r="C11" s="547"/>
      <c r="D11" s="547"/>
      <c r="E11" s="547"/>
      <c r="F11" s="556"/>
      <c r="G11" s="52"/>
      <c r="H11" s="55" t="s">
        <v>107</v>
      </c>
      <c r="I11" s="58"/>
      <c r="J11" s="56" t="s">
        <v>108</v>
      </c>
      <c r="K11" s="57">
        <f>DATE(YEAR(I11)+(MONTH(I11)&gt;3),3,31)</f>
        <v>91</v>
      </c>
      <c r="L11" s="139"/>
      <c r="M11" s="139"/>
      <c r="N11" s="139"/>
      <c r="O11" s="547"/>
      <c r="P11" s="547"/>
      <c r="Q11" s="547"/>
      <c r="R11" s="547"/>
      <c r="S11" s="547"/>
      <c r="T11" s="547"/>
      <c r="U11" s="547"/>
      <c r="V11" s="547"/>
      <c r="W11" s="547"/>
      <c r="X11" s="547"/>
      <c r="Y11" s="547"/>
    </row>
    <row r="12" spans="1:28" ht="24.65" customHeight="1" thickBot="1" x14ac:dyDescent="0.4">
      <c r="A12" s="555"/>
      <c r="B12" s="555"/>
      <c r="C12" s="555"/>
      <c r="D12" s="555"/>
      <c r="E12" s="555"/>
      <c r="F12" s="557"/>
      <c r="G12" s="559" t="s">
        <v>323</v>
      </c>
      <c r="H12" s="559"/>
      <c r="I12" s="559"/>
      <c r="J12" s="559"/>
      <c r="K12" s="559"/>
      <c r="L12" s="140"/>
      <c r="M12" s="140"/>
      <c r="N12" s="140"/>
      <c r="O12" s="547"/>
      <c r="P12" s="547"/>
      <c r="Q12" s="547"/>
      <c r="R12" s="547"/>
      <c r="S12" s="547"/>
      <c r="T12" s="547"/>
      <c r="U12" s="547"/>
      <c r="V12" s="547"/>
      <c r="W12" s="547"/>
      <c r="X12" s="547"/>
      <c r="Y12" s="547"/>
    </row>
    <row r="13" spans="1:28" ht="18.899999999999999" thickBot="1" x14ac:dyDescent="0.55000000000000004">
      <c r="A13" s="553" t="s">
        <v>109</v>
      </c>
      <c r="B13" s="554"/>
      <c r="C13" s="554"/>
      <c r="D13" s="554"/>
      <c r="E13" s="554"/>
      <c r="F13" s="554"/>
      <c r="G13" s="554"/>
      <c r="H13" s="554"/>
      <c r="I13" s="554"/>
      <c r="J13" s="554"/>
      <c r="K13" s="16"/>
      <c r="L13" s="141"/>
      <c r="M13" s="137"/>
      <c r="N13" s="137"/>
      <c r="O13" s="541" t="str">
        <f>IF(ISBLANK(I11),"This section should not be overtyped at this time","Update to reflect REVISED staff rates of pay/ hours from "&amp;TEXT($I$11,"DD/MM/YY"))</f>
        <v>This section should not be overtyped at this time</v>
      </c>
      <c r="P13" s="542"/>
      <c r="Q13" s="542"/>
      <c r="R13" s="542"/>
      <c r="S13" s="542"/>
      <c r="T13" s="542"/>
      <c r="U13" s="542"/>
      <c r="V13" s="542"/>
      <c r="W13" s="542"/>
      <c r="X13" s="542"/>
      <c r="Y13" s="542"/>
    </row>
    <row r="14" spans="1:28" ht="64.5" customHeight="1" x14ac:dyDescent="0.35">
      <c r="A14" s="177" t="s">
        <v>35</v>
      </c>
      <c r="B14" s="178" t="s">
        <v>41</v>
      </c>
      <c r="C14" s="179" t="s">
        <v>36</v>
      </c>
      <c r="D14" s="180" t="s">
        <v>96</v>
      </c>
      <c r="E14" s="180" t="s">
        <v>97</v>
      </c>
      <c r="F14" s="180" t="s">
        <v>282</v>
      </c>
      <c r="G14" s="180" t="s">
        <v>148</v>
      </c>
      <c r="H14" s="181" t="s">
        <v>44</v>
      </c>
      <c r="I14" s="182" t="s">
        <v>191</v>
      </c>
      <c r="J14" s="182" t="s">
        <v>98</v>
      </c>
      <c r="K14" s="183" t="s">
        <v>62</v>
      </c>
      <c r="L14" s="142" t="s">
        <v>149</v>
      </c>
      <c r="M14" s="142" t="s">
        <v>150</v>
      </c>
      <c r="N14" s="143" t="s">
        <v>193</v>
      </c>
      <c r="O14" s="17" t="s">
        <v>35</v>
      </c>
      <c r="P14" s="17" t="s">
        <v>88</v>
      </c>
      <c r="Q14" s="17" t="s">
        <v>85</v>
      </c>
      <c r="R14" s="6" t="s">
        <v>99</v>
      </c>
      <c r="S14" s="6" t="s">
        <v>100</v>
      </c>
      <c r="T14" s="17" t="s">
        <v>37</v>
      </c>
      <c r="U14" s="18" t="s">
        <v>87</v>
      </c>
      <c r="V14" s="6" t="s">
        <v>86</v>
      </c>
      <c r="W14" s="721" t="s">
        <v>57</v>
      </c>
      <c r="X14" s="6" t="s">
        <v>98</v>
      </c>
      <c r="Y14" s="17" t="s">
        <v>62</v>
      </c>
      <c r="Z14" s="128" t="s">
        <v>174</v>
      </c>
      <c r="AA14" s="128" t="s">
        <v>175</v>
      </c>
      <c r="AB14" s="128" t="s">
        <v>176</v>
      </c>
    </row>
    <row r="15" spans="1:28" x14ac:dyDescent="0.35">
      <c r="A15" s="329" t="s">
        <v>383</v>
      </c>
      <c r="B15" s="309" t="s">
        <v>40</v>
      </c>
      <c r="C15" s="315"/>
      <c r="D15" s="315"/>
      <c r="E15" s="315"/>
      <c r="F15" s="310" t="s">
        <v>19</v>
      </c>
      <c r="G15" s="316"/>
      <c r="H15" s="317"/>
      <c r="I15"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15" s="31" t="str">
        <f>IFERROR(IF(Table1[[#This Row],[Per (Year /Hr)]]="year","",$J$6*Table1[[#This Row],[Cohort wage (includes BH for hrly staff)]]),"")</f>
        <v/>
      </c>
      <c r="K15" s="184">
        <f>IFERROR(IF(Table1[[#This Row],[Per (Year /Hr)]]="year",Table1[[#This Row],[Cohort wage (includes BH for hrly staff)]],Table1[[#This Row],[Cohort wage (includes BH for hrly staff)]]+Table1[[#This Row],[Hrly staff AL accrual]]),0)</f>
        <v>0</v>
      </c>
      <c r="L15" s="144" t="e">
        <f>((Table1[[#This Row],[Combined hrs per week]]/Table1[[#This Row],['# FTE staff in role]])*($J$3/7))</f>
        <v>#DIV/0!</v>
      </c>
      <c r="M15" s="145" t="e">
        <f>Table1[[#This Row],[Total Wage]]/Table1[[#This Row],['# FTE staff in role]]</f>
        <v>#DIV/0!</v>
      </c>
      <c r="N15" s="145" t="e">
        <f>IF(ISBLANK(Table1[[#This Row],['# FTE staff in role]]),Table1[[#This Row],[Total Wage]]/(Table1[[#This Row],[Combined hrs per week]]*($J$3/7)),(Table1[[#This Row],[an. Wage Per FTE]]/Table1[[#This Row],[an. hrs per fte]]/24))</f>
        <v>#DIV/0!</v>
      </c>
      <c r="O15" s="327" t="str">
        <f>IF(ISBLANK(Table1[[#This Row],[Role]]),"",Table1[[#This Row],[Role]])</f>
        <v>Qualified nurses</v>
      </c>
      <c r="P15" s="309" t="str">
        <f>IF(ISBLANK(Table1[[#This Row],[Role type]]),"",Table1[[#This Row],[Role type]])</f>
        <v>face to face support</v>
      </c>
      <c r="Q15" s="331" t="str">
        <f>IF(ISBLANK(Table1[[#This Row],[Rate]]),"",Table1[[#This Row],[Rate]])</f>
        <v/>
      </c>
      <c r="R15" s="331" t="str">
        <f>IF(ISBLANK(Table1[[#This Row],[Hrly Staff only Bank Hol hrly rate 1]]),"",Table1[[#This Row],[Hrly Staff only Bank Hol hrly rate 1]])</f>
        <v/>
      </c>
      <c r="S15" s="331">
        <f>IF(ISBLANK(Table1[[#This Row],[Hrly Staff only Bank Hol hrly rate 2]]),0,Table1[[#This Row],[Hrly Staff only Bank Hol hrly rate 2]])</f>
        <v>0</v>
      </c>
      <c r="T15" s="331" t="str">
        <f>IF(ISBLANK(Table1[[#This Row],[Per (Year /Hr)]]),"",Table1[[#This Row],[Per (Year /Hr)]])</f>
        <v>hour</v>
      </c>
      <c r="U15" s="455" t="str">
        <f>IF(ISBLANK(Table1[[#This Row],['# FTE staff in role]]),"",Table1[[#This Row],['# FTE staff in role]])</f>
        <v/>
      </c>
      <c r="V15" s="317" t="str">
        <f>IF(ISBLANK(Table1[[#This Row],[Combined hrs per week]]),"",Table1[[#This Row],[Combined hrs per week]])</f>
        <v/>
      </c>
      <c r="W15" s="31"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15" s="31" t="str">
        <f>IFERROR(IF(Table14[[#This Row],[Per]]="year","",$X$6*Table14[[#This Row],[Cohort Wage (includes BH for hrly rate staff)]]),"")</f>
        <v/>
      </c>
      <c r="Y15" s="160">
        <f>IFERROR(IF(Table14[[#This Row],[Per]]="year",Table14[[#This Row],[Cohort Wage (includes BH for hrly rate staff)]],Table14[[#This Row],[Cohort Wage (includes BH for hrly rate staff)]]+Table14[[#This Row],[Hrly staff AL accrual]]),0)</f>
        <v>0</v>
      </c>
      <c r="Z15" s="70" t="e">
        <f>((Table14[Revised Combined hrs per week]/Table14[Revised '# Staff in role])*($X$3/7))</f>
        <v>#VALUE!</v>
      </c>
      <c r="AA15" s="70" t="e">
        <f>Table14[[#This Row],[Total Wage]]/Table14[Revised '# Staff in role]</f>
        <v>#VALUE!</v>
      </c>
      <c r="AB15" s="70" t="e">
        <f>(Table14[[#This Row],[an wg per fte]]/Table14[[#This Row],[an hrs per fte]]/24)</f>
        <v>#VALUE!</v>
      </c>
    </row>
    <row r="16" spans="1:28" x14ac:dyDescent="0.35">
      <c r="A16" s="329" t="s">
        <v>384</v>
      </c>
      <c r="B16" s="309" t="s">
        <v>40</v>
      </c>
      <c r="C16" s="318"/>
      <c r="D16" s="315"/>
      <c r="E16" s="315"/>
      <c r="F16" s="310" t="s">
        <v>19</v>
      </c>
      <c r="G16" s="310"/>
      <c r="H16" s="317"/>
      <c r="I16"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16" s="31" t="str">
        <f>IFERROR(IF(Table1[[#This Row],[Per (Year /Hr)]]="year","",$J$6*Table1[[#This Row],[Cohort wage (includes BH for hrly staff)]]),"")</f>
        <v/>
      </c>
      <c r="K16" s="184">
        <f>IFERROR(IF(Table1[[#This Row],[Per (Year /Hr)]]="year",Table1[[#This Row],[Cohort wage (includes BH for hrly staff)]],Table1[[#This Row],[Cohort wage (includes BH for hrly staff)]]+Table1[[#This Row],[Hrly staff AL accrual]]),0)</f>
        <v>0</v>
      </c>
      <c r="L16" s="144" t="e">
        <f>((Table1[[#This Row],[Combined hrs per week]]/Table1[[#This Row],['# FTE staff in role]])*($J$3/7))</f>
        <v>#DIV/0!</v>
      </c>
      <c r="M16" s="145" t="e">
        <f>Table1[[#This Row],[Total Wage]]/Table1[[#This Row],['# FTE staff in role]]</f>
        <v>#DIV/0!</v>
      </c>
      <c r="N16" s="145" t="e">
        <f>IF(ISBLANK(Table1[[#This Row],['# FTE staff in role]]),Table1[[#This Row],[Total Wage]]/(Table1[[#This Row],[Combined hrs per week]]*($J$3/7)),(Table1[[#This Row],[an. Wage Per FTE]]/Table1[[#This Row],[an. hrs per fte]]/24))</f>
        <v>#DIV/0!</v>
      </c>
      <c r="O16" s="327" t="str">
        <f>IF(ISBLANK(Table1[[#This Row],[Role]]),"",Table1[[#This Row],[Role]])</f>
        <v>Nursing Auxiliaries/ Advanced level 3's</v>
      </c>
      <c r="P16" s="309" t="str">
        <f>IF(ISBLANK(Table1[[#This Row],[Role type]]),"",Table1[[#This Row],[Role type]])</f>
        <v>face to face support</v>
      </c>
      <c r="Q16" s="331" t="str">
        <f>IF(ISBLANK(Table1[[#This Row],[Rate]]),"",Table1[[#This Row],[Rate]])</f>
        <v/>
      </c>
      <c r="R16" s="331" t="str">
        <f>IF(ISBLANK(Table1[[#This Row],[Hrly Staff only Bank Hol hrly rate 1]]),"",Table1[[#This Row],[Hrly Staff only Bank Hol hrly rate 1]])</f>
        <v/>
      </c>
      <c r="S16" s="331">
        <f>IF(ISBLANK(Table1[[#This Row],[Hrly Staff only Bank Hol hrly rate 2]]),0,Table1[[#This Row],[Hrly Staff only Bank Hol hrly rate 2]])</f>
        <v>0</v>
      </c>
      <c r="T16" s="331" t="str">
        <f>IF(ISBLANK(Table1[[#This Row],[Per (Year /Hr)]]),"",Table1[[#This Row],[Per (Year /Hr)]])</f>
        <v>hour</v>
      </c>
      <c r="U16" s="455" t="str">
        <f>IF(ISBLANK(Table1[[#This Row],['# FTE staff in role]]),"",Table1[[#This Row],['# FTE staff in role]])</f>
        <v/>
      </c>
      <c r="V16" s="317" t="str">
        <f>IF(ISBLANK(Table1[[#This Row],[Combined hrs per week]]),"",Table1[[#This Row],[Combined hrs per week]])</f>
        <v/>
      </c>
      <c r="W16" s="31"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16" s="31" t="str">
        <f>IFERROR(IF(Table14[[#This Row],[Per]]="year","",$X$6*Table14[[#This Row],[Cohort Wage (includes BH for hrly rate staff)]]),"")</f>
        <v/>
      </c>
      <c r="Y16" s="32">
        <f>IFERROR(IF(Table14[[#This Row],[Per]]="year",Table14[[#This Row],[Cohort Wage (includes BH for hrly rate staff)]],Table14[[#This Row],[Cohort Wage (includes BH for hrly rate staff)]]+Table14[[#This Row],[Hrly staff AL accrual]]),0)</f>
        <v>0</v>
      </c>
      <c r="Z16" s="70" t="e">
        <f>((Table14[Revised Combined hrs per week]/Table14[Revised '# Staff in role])*($X$3/7))</f>
        <v>#VALUE!</v>
      </c>
      <c r="AA16" s="70" t="e">
        <f>Table14[[#This Row],[Total Wage]]/Table14[Revised '# Staff in role]</f>
        <v>#VALUE!</v>
      </c>
      <c r="AB16" s="70" t="e">
        <f>(Table14[[#This Row],[an wg per fte]]/Table14[[#This Row],[an hrs per fte]]/24)</f>
        <v>#VALUE!</v>
      </c>
    </row>
    <row r="17" spans="1:28" x14ac:dyDescent="0.35">
      <c r="A17" s="329" t="s">
        <v>385</v>
      </c>
      <c r="B17" s="309" t="s">
        <v>40</v>
      </c>
      <c r="C17" s="318"/>
      <c r="D17" s="315"/>
      <c r="E17" s="315"/>
      <c r="F17" s="310" t="s">
        <v>19</v>
      </c>
      <c r="G17" s="310"/>
      <c r="H17" s="317"/>
      <c r="I17"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17" s="31" t="str">
        <f>IFERROR(IF(Table1[[#This Row],[Per (Year /Hr)]]="year","",$J$6*Table1[[#This Row],[Cohort wage (includes BH for hrly staff)]]),"")</f>
        <v/>
      </c>
      <c r="K17" s="184">
        <f>IFERROR(IF(Table1[[#This Row],[Per (Year /Hr)]]="year",Table1[[#This Row],[Cohort wage (includes BH for hrly staff)]],Table1[[#This Row],[Cohort wage (includes BH for hrly staff)]]+Table1[[#This Row],[Hrly staff AL accrual]]),0)</f>
        <v>0</v>
      </c>
      <c r="L17" s="144" t="e">
        <f>((Table1[[#This Row],[Combined hrs per week]]/Table1[[#This Row],['# FTE staff in role]])*($J$3/7))</f>
        <v>#DIV/0!</v>
      </c>
      <c r="M17" s="145" t="e">
        <f>Table1[[#This Row],[Total Wage]]/Table1[[#This Row],['# FTE staff in role]]</f>
        <v>#DIV/0!</v>
      </c>
      <c r="N17" s="145" t="e">
        <f>IF(ISBLANK(Table1[[#This Row],['# FTE staff in role]]),Table1[[#This Row],[Total Wage]]/(Table1[[#This Row],[Combined hrs per week]]*($J$3/7)),(Table1[[#This Row],[an. Wage Per FTE]]/Table1[[#This Row],[an. hrs per fte]]/24))</f>
        <v>#DIV/0!</v>
      </c>
      <c r="O17" s="327" t="str">
        <f>IF(ISBLANK(Table1[[#This Row],[Role]]),"",Table1[[#This Row],[Role]])</f>
        <v>Lead Clinician</v>
      </c>
      <c r="P17" s="309" t="str">
        <f>IF(ISBLANK(Table1[[#This Row],[Role type]]),"",Table1[[#This Row],[Role type]])</f>
        <v>face to face support</v>
      </c>
      <c r="Q17" s="331" t="str">
        <f>IF(ISBLANK(Table1[[#This Row],[Rate]]),"",Table1[[#This Row],[Rate]])</f>
        <v/>
      </c>
      <c r="R17" s="331" t="str">
        <f>IF(ISBLANK(Table1[[#This Row],[Hrly Staff only Bank Hol hrly rate 1]]),"",Table1[[#This Row],[Hrly Staff only Bank Hol hrly rate 1]])</f>
        <v/>
      </c>
      <c r="S17" s="331">
        <f>IF(ISBLANK(Table1[[#This Row],[Hrly Staff only Bank Hol hrly rate 2]]),0,Table1[[#This Row],[Hrly Staff only Bank Hol hrly rate 2]])</f>
        <v>0</v>
      </c>
      <c r="T17" s="331" t="str">
        <f>IF(ISBLANK(Table1[[#This Row],[Per (Year /Hr)]]),"",Table1[[#This Row],[Per (Year /Hr)]])</f>
        <v>hour</v>
      </c>
      <c r="U17" s="455" t="str">
        <f>IF(ISBLANK(Table1[[#This Row],['# FTE staff in role]]),"",Table1[[#This Row],['# FTE staff in role]])</f>
        <v/>
      </c>
      <c r="V17" s="317" t="str">
        <f>IF(ISBLANK(Table1[[#This Row],[Combined hrs per week]]),"",Table1[[#This Row],[Combined hrs per week]])</f>
        <v/>
      </c>
      <c r="W17" s="31"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17" s="31" t="str">
        <f>IFERROR(IF(Table14[[#This Row],[Per]]="year","",$X$6*Table14[[#This Row],[Cohort Wage (includes BH for hrly rate staff)]]),"")</f>
        <v/>
      </c>
      <c r="Y17" s="32">
        <f>IFERROR(IF(Table14[[#This Row],[Per]]="year",Table14[[#This Row],[Cohort Wage (includes BH for hrly rate staff)]],Table14[[#This Row],[Cohort Wage (includes BH for hrly rate staff)]]+Table14[[#This Row],[Hrly staff AL accrual]]),0)</f>
        <v>0</v>
      </c>
      <c r="Z17" s="70" t="e">
        <f>((Table14[Revised Combined hrs per week]/Table14[Revised '# Staff in role])*($X$3/7))</f>
        <v>#VALUE!</v>
      </c>
      <c r="AA17" s="70" t="e">
        <f>Table14[[#This Row],[Total Wage]]/Table14[Revised '# Staff in role]</f>
        <v>#VALUE!</v>
      </c>
      <c r="AB17" s="70" t="e">
        <f>(Table14[[#This Row],[an wg per fte]]/Table14[[#This Row],[an hrs per fte]]/24)</f>
        <v>#VALUE!</v>
      </c>
    </row>
    <row r="18" spans="1:28" x14ac:dyDescent="0.35">
      <c r="A18" s="329" t="s">
        <v>386</v>
      </c>
      <c r="B18" s="309" t="s">
        <v>40</v>
      </c>
      <c r="C18" s="318"/>
      <c r="D18" s="315"/>
      <c r="E18" s="315"/>
      <c r="F18" s="310" t="s">
        <v>19</v>
      </c>
      <c r="G18" s="310"/>
      <c r="H18" s="317"/>
      <c r="I18"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18" s="31" t="str">
        <f>IFERROR(IF(Table1[[#This Row],[Per (Year /Hr)]]="year","",$J$6*Table1[[#This Row],[Cohort wage (includes BH for hrly staff)]]),"")</f>
        <v/>
      </c>
      <c r="K18" s="184">
        <f>IFERROR(IF(Table1[[#This Row],[Per (Year /Hr)]]="year",Table1[[#This Row],[Cohort wage (includes BH for hrly staff)]],Table1[[#This Row],[Cohort wage (includes BH for hrly staff)]]+Table1[[#This Row],[Hrly staff AL accrual]]),0)</f>
        <v>0</v>
      </c>
      <c r="L18" s="144" t="e">
        <f>((Table1[[#This Row],[Combined hrs per week]]/Table1[[#This Row],['# FTE staff in role]])*($J$3/7))</f>
        <v>#DIV/0!</v>
      </c>
      <c r="M18" s="145" t="e">
        <f>Table1[[#This Row],[Total Wage]]/Table1[[#This Row],['# FTE staff in role]]</f>
        <v>#DIV/0!</v>
      </c>
      <c r="N18" s="145" t="e">
        <f>IF(ISBLANK(Table1[[#This Row],['# FTE staff in role]]),Table1[[#This Row],[Total Wage]]/(Table1[[#This Row],[Combined hrs per week]]*($J$3/7)),(Table1[[#This Row],[an. Wage Per FTE]]/Table1[[#This Row],[an. hrs per fte]]/24))</f>
        <v>#DIV/0!</v>
      </c>
      <c r="O18" s="327" t="str">
        <f>IF(ISBLANK(Table1[[#This Row],[Role]]),"",Table1[[#This Row],[Role]])</f>
        <v>Well Being Coordinator</v>
      </c>
      <c r="P18" s="309" t="str">
        <f>IF(ISBLANK(Table1[[#This Row],[Role type]]),"",Table1[[#This Row],[Role type]])</f>
        <v>face to face support</v>
      </c>
      <c r="Q18" s="331" t="str">
        <f>IF(ISBLANK(Table1[[#This Row],[Rate]]),"",Table1[[#This Row],[Rate]])</f>
        <v/>
      </c>
      <c r="R18" s="331" t="str">
        <f>IF(ISBLANK(Table1[[#This Row],[Hrly Staff only Bank Hol hrly rate 1]]),"",Table1[[#This Row],[Hrly Staff only Bank Hol hrly rate 1]])</f>
        <v/>
      </c>
      <c r="S18" s="331">
        <f>IF(ISBLANK(Table1[[#This Row],[Hrly Staff only Bank Hol hrly rate 2]]),0,Table1[[#This Row],[Hrly Staff only Bank Hol hrly rate 2]])</f>
        <v>0</v>
      </c>
      <c r="T18" s="331" t="str">
        <f>IF(ISBLANK(Table1[[#This Row],[Per (Year /Hr)]]),"",Table1[[#This Row],[Per (Year /Hr)]])</f>
        <v>hour</v>
      </c>
      <c r="U18" s="455" t="str">
        <f>IF(ISBLANK(Table1[[#This Row],['# FTE staff in role]]),"",Table1[[#This Row],['# FTE staff in role]])</f>
        <v/>
      </c>
      <c r="V18" s="317" t="str">
        <f>IF(ISBLANK(Table1[[#This Row],[Combined hrs per week]]),"",Table1[[#This Row],[Combined hrs per week]])</f>
        <v/>
      </c>
      <c r="W18" s="31"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18" s="31" t="str">
        <f>IFERROR(IF(Table14[[#This Row],[Per]]="year","",$X$6*Table14[[#This Row],[Cohort Wage (includes BH for hrly rate staff)]]),"")</f>
        <v/>
      </c>
      <c r="Y18" s="32">
        <f>IFERROR(IF(Table14[[#This Row],[Per]]="year",Table14[[#This Row],[Cohort Wage (includes BH for hrly rate staff)]],Table14[[#This Row],[Cohort Wage (includes BH for hrly rate staff)]]+Table14[[#This Row],[Hrly staff AL accrual]]),0)</f>
        <v>0</v>
      </c>
      <c r="Z18" s="70" t="e">
        <f>((Table14[Revised Combined hrs per week]/Table14[Revised '# Staff in role])*($X$3/7))</f>
        <v>#VALUE!</v>
      </c>
      <c r="AA18" s="70" t="e">
        <f>Table14[[#This Row],[Total Wage]]/Table14[Revised '# Staff in role]</f>
        <v>#VALUE!</v>
      </c>
      <c r="AB18" s="70" t="e">
        <f>(Table14[[#This Row],[an wg per fte]]/Table14[[#This Row],[an hrs per fte]]/24)</f>
        <v>#VALUE!</v>
      </c>
    </row>
    <row r="19" spans="1:28" x14ac:dyDescent="0.35">
      <c r="A19" s="328" t="s">
        <v>178</v>
      </c>
      <c r="B19" s="309" t="s">
        <v>40</v>
      </c>
      <c r="C19" s="318"/>
      <c r="D19" s="315"/>
      <c r="E19" s="315"/>
      <c r="F19" s="310" t="s">
        <v>19</v>
      </c>
      <c r="G19" s="310"/>
      <c r="H19" s="317"/>
      <c r="I19"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19" s="31" t="str">
        <f>IFERROR(IF(Table1[[#This Row],[Per (Year /Hr)]]="year","",$J$6*Table1[[#This Row],[Cohort wage (includes BH for hrly staff)]]),"")</f>
        <v/>
      </c>
      <c r="K19" s="184">
        <f>IFERROR(IF(Table1[[#This Row],[Per (Year /Hr)]]="year",Table1[[#This Row],[Cohort wage (includes BH for hrly staff)]],Table1[[#This Row],[Cohort wage (includes BH for hrly staff)]]+Table1[[#This Row],[Hrly staff AL accrual]]),0)</f>
        <v>0</v>
      </c>
      <c r="L19" s="144" t="e">
        <f>((Table1[[#This Row],[Combined hrs per week]]/Table1[[#This Row],['# FTE staff in role]])*($J$3/7))</f>
        <v>#DIV/0!</v>
      </c>
      <c r="M19" s="145" t="e">
        <f>Table1[[#This Row],[Total Wage]]/Table1[[#This Row],['# FTE staff in role]]</f>
        <v>#DIV/0!</v>
      </c>
      <c r="N19" s="145" t="e">
        <f>IF(ISBLANK(Table1[[#This Row],['# FTE staff in role]]),Table1[[#This Row],[Total Wage]]/(Table1[[#This Row],[Combined hrs per week]]*($J$3/7)),(Table1[[#This Row],[an. Wage Per FTE]]/Table1[[#This Row],[an. hrs per fte]]/24))</f>
        <v>#DIV/0!</v>
      </c>
      <c r="O19" s="327" t="str">
        <f>IF(ISBLANK(Table1[[#This Row],[Role]]),"",Table1[[#This Row],[Role]])</f>
        <v>Care assistants without QCF</v>
      </c>
      <c r="P19" s="309" t="str">
        <f>IF(ISBLANK(Table1[[#This Row],[Role type]]),"",Table1[[#This Row],[Role type]])</f>
        <v>face to face support</v>
      </c>
      <c r="Q19" s="331" t="str">
        <f>IF(ISBLANK(Table1[[#This Row],[Rate]]),"",Table1[[#This Row],[Rate]])</f>
        <v/>
      </c>
      <c r="R19" s="331" t="str">
        <f>IF(ISBLANK(Table1[[#This Row],[Hrly Staff only Bank Hol hrly rate 1]]),"",Table1[[#This Row],[Hrly Staff only Bank Hol hrly rate 1]])</f>
        <v/>
      </c>
      <c r="S19" s="331">
        <f>IF(ISBLANK(Table1[[#This Row],[Hrly Staff only Bank Hol hrly rate 2]]),0,Table1[[#This Row],[Hrly Staff only Bank Hol hrly rate 2]])</f>
        <v>0</v>
      </c>
      <c r="T19" s="331" t="str">
        <f>IF(ISBLANK(Table1[[#This Row],[Per (Year /Hr)]]),"",Table1[[#This Row],[Per (Year /Hr)]])</f>
        <v>hour</v>
      </c>
      <c r="U19" s="455" t="str">
        <f>IF(ISBLANK(Table1[[#This Row],['# FTE staff in role]]),"",Table1[[#This Row],['# FTE staff in role]])</f>
        <v/>
      </c>
      <c r="V19" s="317" t="str">
        <f>IF(ISBLANK(Table1[[#This Row],[Combined hrs per week]]),"",Table1[[#This Row],[Combined hrs per week]])</f>
        <v/>
      </c>
      <c r="W19" s="31"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19" s="31" t="str">
        <f>IFERROR(IF(Table14[[#This Row],[Per]]="year","",$X$6*Table14[[#This Row],[Cohort Wage (includes BH for hrly rate staff)]]),"")</f>
        <v/>
      </c>
      <c r="Y19" s="32">
        <f>IFERROR(IF(Table14[[#This Row],[Per]]="year",Table14[[#This Row],[Cohort Wage (includes BH for hrly rate staff)]],Table14[[#This Row],[Cohort Wage (includes BH for hrly rate staff)]]+Table14[[#This Row],[Hrly staff AL accrual]]),0)</f>
        <v>0</v>
      </c>
      <c r="Z19" s="70" t="e">
        <f>((Table14[Revised Combined hrs per week]/Table14[Revised '# Staff in role])*($X$3/7))</f>
        <v>#VALUE!</v>
      </c>
      <c r="AA19" s="70" t="e">
        <f>Table14[[#This Row],[Total Wage]]/Table14[Revised '# Staff in role]</f>
        <v>#VALUE!</v>
      </c>
      <c r="AB19" s="70" t="e">
        <f>(Table14[[#This Row],[an wg per fte]]/Table14[[#This Row],[an hrs per fte]]/24)</f>
        <v>#VALUE!</v>
      </c>
    </row>
    <row r="20" spans="1:28" x14ac:dyDescent="0.35">
      <c r="A20" s="328" t="s">
        <v>332</v>
      </c>
      <c r="B20" s="309" t="s">
        <v>40</v>
      </c>
      <c r="C20" s="318"/>
      <c r="D20" s="318"/>
      <c r="E20" s="315"/>
      <c r="F20" s="310" t="s">
        <v>19</v>
      </c>
      <c r="G20" s="310"/>
      <c r="H20" s="317"/>
      <c r="I20"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0" s="31" t="str">
        <f>IFERROR(IF(Table1[[#This Row],[Per (Year /Hr)]]="year","",$J$6*Table1[[#This Row],[Cohort wage (includes BH for hrly staff)]]),"")</f>
        <v/>
      </c>
      <c r="K20" s="184">
        <f>IFERROR(IF(Table1[[#This Row],[Per (Year /Hr)]]="year",Table1[[#This Row],[Cohort wage (includes BH for hrly staff)]],Table1[[#This Row],[Cohort wage (includes BH for hrly staff)]]+Table1[[#This Row],[Hrly staff AL accrual]]),0)</f>
        <v>0</v>
      </c>
      <c r="L20" s="144" t="e">
        <f>((Table1[[#This Row],[Combined hrs per week]]/Table1[[#This Row],['# FTE staff in role]])*($J$3/7))</f>
        <v>#DIV/0!</v>
      </c>
      <c r="M20" s="145" t="e">
        <f>Table1[[#This Row],[Total Wage]]/Table1[[#This Row],['# FTE staff in role]]</f>
        <v>#DIV/0!</v>
      </c>
      <c r="N20" s="145" t="e">
        <f>IF(ISBLANK(Table1[[#This Row],['# FTE staff in role]]),Table1[[#This Row],[Total Wage]]/(Table1[[#This Row],[Combined hrs per week]]*($J$3/7)),(Table1[[#This Row],[an. Wage Per FTE]]/Table1[[#This Row],[an. hrs per fte]]/24))</f>
        <v>#DIV/0!</v>
      </c>
      <c r="O20" s="327" t="str">
        <f>IF(ISBLANK(Table1[[#This Row],[Role]]),"",Table1[[#This Row],[Role]])</f>
        <v>Level 2 and above care assistants</v>
      </c>
      <c r="P20" s="309" t="str">
        <f>IF(ISBLANK(Table1[[#This Row],[Role type]]),"",Table1[[#This Row],[Role type]])</f>
        <v>face to face support</v>
      </c>
      <c r="Q20" s="331" t="str">
        <f>IF(ISBLANK(Table1[[#This Row],[Rate]]),"",Table1[[#This Row],[Rate]])</f>
        <v/>
      </c>
      <c r="R20" s="331" t="str">
        <f>IF(ISBLANK(Table1[[#This Row],[Hrly Staff only Bank Hol hrly rate 1]]),"",Table1[[#This Row],[Hrly Staff only Bank Hol hrly rate 1]])</f>
        <v/>
      </c>
      <c r="S20" s="331">
        <f>IF(ISBLANK(Table1[[#This Row],[Hrly Staff only Bank Hol hrly rate 2]]),0,Table1[[#This Row],[Hrly Staff only Bank Hol hrly rate 2]])</f>
        <v>0</v>
      </c>
      <c r="T20" s="331" t="str">
        <f>IF(ISBLANK(Table1[[#This Row],[Per (Year /Hr)]]),"",Table1[[#This Row],[Per (Year /Hr)]])</f>
        <v>hour</v>
      </c>
      <c r="U20" s="455" t="str">
        <f>IF(ISBLANK(Table1[[#This Row],['# FTE staff in role]]),"",Table1[[#This Row],['# FTE staff in role]])</f>
        <v/>
      </c>
      <c r="V20" s="317" t="str">
        <f>IF(ISBLANK(Table1[[#This Row],[Combined hrs per week]]),"",Table1[[#This Row],[Combined hrs per week]])</f>
        <v/>
      </c>
      <c r="W20" s="31"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0" s="31" t="str">
        <f>IFERROR(IF(Table14[[#This Row],[Per]]="year","",$X$6*Table14[[#This Row],[Cohort Wage (includes BH for hrly rate staff)]]),"")</f>
        <v/>
      </c>
      <c r="Y20" s="32">
        <f>IFERROR(IF(Table14[[#This Row],[Per]]="year",Table14[[#This Row],[Cohort Wage (includes BH for hrly rate staff)]],Table14[[#This Row],[Cohort Wage (includes BH for hrly rate staff)]]+Table14[[#This Row],[Hrly staff AL accrual]]),0)</f>
        <v>0</v>
      </c>
      <c r="Z20" s="70" t="e">
        <f>((Table14[Revised Combined hrs per week]/Table14[Revised '# Staff in role])*($X$3/7))</f>
        <v>#VALUE!</v>
      </c>
      <c r="AA20" s="70" t="e">
        <f>Table14[[#This Row],[Total Wage]]/Table14[Revised '# Staff in role]</f>
        <v>#VALUE!</v>
      </c>
      <c r="AB20" s="70" t="e">
        <f>(Table14[[#This Row],[an wg per fte]]/Table14[[#This Row],[an hrs per fte]]/24)</f>
        <v>#VALUE!</v>
      </c>
    </row>
    <row r="21" spans="1:28" x14ac:dyDescent="0.35">
      <c r="A21" s="328"/>
      <c r="B21" s="309"/>
      <c r="C21" s="227"/>
      <c r="D21" s="227"/>
      <c r="E21" s="315"/>
      <c r="F21" s="310"/>
      <c r="G21" s="310"/>
      <c r="H21" s="317"/>
      <c r="I21"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1" s="31" t="str">
        <f>IFERROR(IF(Table1[[#This Row],[Per (Year /Hr)]]="year","",$J$6*Table1[[#This Row],[Cohort wage (includes BH for hrly staff)]]),"")</f>
        <v/>
      </c>
      <c r="K21" s="184">
        <f>IFERROR(IF(Table1[[#This Row],[Per (Year /Hr)]]="year",Table1[[#This Row],[Cohort wage (includes BH for hrly staff)]],Table1[[#This Row],[Cohort wage (includes BH for hrly staff)]]+Table1[[#This Row],[Hrly staff AL accrual]]),0)</f>
        <v>0</v>
      </c>
      <c r="L21" s="144" t="e">
        <f>((Table1[[#This Row],[Combined hrs per week]]/Table1[[#This Row],['# FTE staff in role]])*($J$3/7))</f>
        <v>#DIV/0!</v>
      </c>
      <c r="M21" s="145" t="e">
        <f>Table1[[#This Row],[Total Wage]]/Table1[[#This Row],['# FTE staff in role]]</f>
        <v>#DIV/0!</v>
      </c>
      <c r="N21" s="145" t="e">
        <f>IF(ISBLANK(Table1[[#This Row],['# FTE staff in role]]),Table1[[#This Row],[Total Wage]]/(Table1[[#This Row],[Combined hrs per week]]*($J$3/7)),(Table1[[#This Row],[an. Wage Per FTE]]/Table1[[#This Row],[an. hrs per fte]]/24))</f>
        <v>#DIV/0!</v>
      </c>
      <c r="O21" s="327" t="str">
        <f>IF(ISBLANK(Table1[[#This Row],[Role]]),"",Table1[[#This Row],[Role]])</f>
        <v/>
      </c>
      <c r="P21" s="309" t="str">
        <f>IF(ISBLANK(Table1[[#This Row],[Role type]]),"",Table1[[#This Row],[Role type]])</f>
        <v/>
      </c>
      <c r="Q21" s="331" t="str">
        <f>IF(ISBLANK(Table1[[#This Row],[Rate]]),"",Table1[[#This Row],[Rate]])</f>
        <v/>
      </c>
      <c r="R21" s="331" t="str">
        <f>IF(ISBLANK(Table1[[#This Row],[Hrly Staff only Bank Hol hrly rate 1]]),"",Table1[[#This Row],[Hrly Staff only Bank Hol hrly rate 1]])</f>
        <v/>
      </c>
      <c r="S21" s="331">
        <f>IF(ISBLANK(Table1[[#This Row],[Hrly Staff only Bank Hol hrly rate 2]]),0,Table1[[#This Row],[Hrly Staff only Bank Hol hrly rate 2]])</f>
        <v>0</v>
      </c>
      <c r="T21" s="331" t="str">
        <f>IF(ISBLANK(Table1[[#This Row],[Per (Year /Hr)]]),"",Table1[[#This Row],[Per (Year /Hr)]])</f>
        <v/>
      </c>
      <c r="U21" s="455" t="str">
        <f>IF(ISBLANK(Table1[[#This Row],['# FTE staff in role]]),"",Table1[[#This Row],['# FTE staff in role]])</f>
        <v/>
      </c>
      <c r="V21" s="317" t="str">
        <f>IF(ISBLANK(Table1[[#This Row],[Combined hrs per week]]),"",Table1[[#This Row],[Combined hrs per week]])</f>
        <v/>
      </c>
      <c r="W21" s="31"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1" s="31" t="str">
        <f>IFERROR(IF(Table14[[#This Row],[Per]]="year","",$X$6*Table14[[#This Row],[Cohort Wage (includes BH for hrly rate staff)]]),"")</f>
        <v/>
      </c>
      <c r="Y21" s="32">
        <f>IFERROR(IF(Table14[[#This Row],[Per]]="year",Table14[[#This Row],[Cohort Wage (includes BH for hrly rate staff)]],Table14[[#This Row],[Cohort Wage (includes BH for hrly rate staff)]]+Table14[[#This Row],[Hrly staff AL accrual]]),0)</f>
        <v>0</v>
      </c>
      <c r="Z21" s="70" t="e">
        <f>((Table14[Revised Combined hrs per week]/Table14[Revised '# Staff in role])*($X$3/7))</f>
        <v>#VALUE!</v>
      </c>
      <c r="AA21" s="70" t="e">
        <f>Table14[[#This Row],[Total Wage]]/Table14[Revised '# Staff in role]</f>
        <v>#VALUE!</v>
      </c>
      <c r="AB21" s="70" t="e">
        <f>(Table14[[#This Row],[an wg per fte]]/Table14[[#This Row],[an hrs per fte]]/24)</f>
        <v>#VALUE!</v>
      </c>
    </row>
    <row r="22" spans="1:28" x14ac:dyDescent="0.35">
      <c r="A22" s="328" t="s">
        <v>333</v>
      </c>
      <c r="B22" s="309" t="s">
        <v>58</v>
      </c>
      <c r="C22" s="227"/>
      <c r="D22" s="227"/>
      <c r="E22" s="315"/>
      <c r="F22" s="388" t="s">
        <v>19</v>
      </c>
      <c r="G22" s="388"/>
      <c r="H22" s="228"/>
      <c r="I22"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2" s="34" t="str">
        <f>IFERROR(IF(Table1[[#This Row],[Per (Year /Hr)]]="year","",$J$6*Table1[[#This Row],[Cohort wage (includes BH for hrly staff)]]),"")</f>
        <v/>
      </c>
      <c r="K22" s="185">
        <f>IFERROR(IF(Table1[[#This Row],[Per (Year /Hr)]]="year",Table1[[#This Row],[Cohort wage (includes BH for hrly staff)]],Table1[[#This Row],[Cohort wage (includes BH for hrly staff)]]+Table1[[#This Row],[Hrly staff AL accrual]]),0)</f>
        <v>0</v>
      </c>
      <c r="L22" s="144" t="e">
        <f>((Table1[[#This Row],[Combined hrs per week]]/Table1[[#This Row],['# FTE staff in role]])*($J$3/7))</f>
        <v>#DIV/0!</v>
      </c>
      <c r="M22" s="145" t="e">
        <f>Table1[[#This Row],[Total Wage]]/Table1[[#This Row],['# FTE staff in role]]</f>
        <v>#DIV/0!</v>
      </c>
      <c r="N22" s="145" t="e">
        <f>IF(ISBLANK(Table1[[#This Row],['# FTE staff in role]]),Table1[[#This Row],[Total Wage]]/(Table1[[#This Row],[Combined hrs per week]]*($J$3/7)),(Table1[[#This Row],[an. Wage Per FTE]]/Table1[[#This Row],[an. hrs per fte]]/24))</f>
        <v>#DIV/0!</v>
      </c>
      <c r="O22" s="327" t="str">
        <f>IF(ISBLANK(Table1[[#This Row],[Role]]),"",Table1[[#This Row],[Role]])</f>
        <v>Domestics</v>
      </c>
      <c r="P22" s="309" t="str">
        <f>IF(ISBLANK(Table1[[#This Row],[Role type]]),"",Table1[[#This Row],[Role type]])</f>
        <v>background support for the individual</v>
      </c>
      <c r="Q22" s="331" t="str">
        <f>IF(ISBLANK(Table1[[#This Row],[Rate]]),"",Table1[[#This Row],[Rate]])</f>
        <v/>
      </c>
      <c r="R22" s="331" t="str">
        <f>IF(ISBLANK(Table1[[#This Row],[Hrly Staff only Bank Hol hrly rate 1]]),"",Table1[[#This Row],[Hrly Staff only Bank Hol hrly rate 1]])</f>
        <v/>
      </c>
      <c r="S22" s="331">
        <f>IF(ISBLANK(Table1[[#This Row],[Hrly Staff only Bank Hol hrly rate 2]]),0,Table1[[#This Row],[Hrly Staff only Bank Hol hrly rate 2]])</f>
        <v>0</v>
      </c>
      <c r="T22" s="331" t="str">
        <f>IF(ISBLANK(Table1[[#This Row],[Per (Year /Hr)]]),"",Table1[[#This Row],[Per (Year /Hr)]])</f>
        <v>hour</v>
      </c>
      <c r="U22" s="455" t="str">
        <f>IF(ISBLANK(Table1[[#This Row],['# FTE staff in role]]),"",Table1[[#This Row],['# FTE staff in role]])</f>
        <v/>
      </c>
      <c r="V22" s="317" t="str">
        <f>IF(ISBLANK(Table1[[#This Row],[Combined hrs per week]]),"",Table1[[#This Row],[Combined hrs per week]])</f>
        <v/>
      </c>
      <c r="W22"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2" s="34" t="str">
        <f>IFERROR(IF(Table14[[#This Row],[Per]]="year","",$X$6*Table14[[#This Row],[Cohort Wage (includes BH for hrly rate staff)]]),"")</f>
        <v/>
      </c>
      <c r="Y22" s="35">
        <f>IFERROR(IF(Table14[[#This Row],[Per]]="year",Table14[[#This Row],[Cohort Wage (includes BH for hrly rate staff)]],Table14[[#This Row],[Cohort Wage (includes BH for hrly rate staff)]]+Table14[[#This Row],[Hrly staff AL accrual]]),0)</f>
        <v>0</v>
      </c>
      <c r="Z22" s="70" t="e">
        <f>((Table14[Revised Combined hrs per week]/Table14[Revised '# Staff in role])*($X$3/7))</f>
        <v>#VALUE!</v>
      </c>
      <c r="AA22" s="70" t="e">
        <f>Table14[[#This Row],[Total Wage]]/Table14[Revised '# Staff in role]</f>
        <v>#VALUE!</v>
      </c>
      <c r="AB22" s="70" t="e">
        <f>(Table14[[#This Row],[an wg per fte]]/Table14[[#This Row],[an hrs per fte]]/24)</f>
        <v>#VALUE!</v>
      </c>
    </row>
    <row r="23" spans="1:28" x14ac:dyDescent="0.35">
      <c r="A23" s="328" t="s">
        <v>334</v>
      </c>
      <c r="B23" s="309" t="s">
        <v>58</v>
      </c>
      <c r="C23" s="227"/>
      <c r="D23" s="227"/>
      <c r="E23" s="227"/>
      <c r="F23" s="388" t="s">
        <v>19</v>
      </c>
      <c r="G23" s="388"/>
      <c r="H23" s="228"/>
      <c r="I23"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3" s="34" t="str">
        <f>IFERROR(IF(Table1[[#This Row],[Per (Year /Hr)]]="year","",$J$6*Table1[[#This Row],[Cohort wage (includes BH for hrly staff)]]),"")</f>
        <v/>
      </c>
      <c r="K23" s="185">
        <f>IFERROR(IF(Table1[[#This Row],[Per (Year /Hr)]]="year",Table1[[#This Row],[Cohort wage (includes BH for hrly staff)]],Table1[[#This Row],[Cohort wage (includes BH for hrly staff)]]+Table1[[#This Row],[Hrly staff AL accrual]]),0)</f>
        <v>0</v>
      </c>
      <c r="L23" s="144" t="e">
        <f>((Table1[[#This Row],[Combined hrs per week]]/Table1[[#This Row],['# FTE staff in role]])*($J$3/7))</f>
        <v>#DIV/0!</v>
      </c>
      <c r="M23" s="145" t="e">
        <f>Table1[[#This Row],[Total Wage]]/Table1[[#This Row],['# FTE staff in role]]</f>
        <v>#DIV/0!</v>
      </c>
      <c r="N23" s="145" t="e">
        <f>IF(ISBLANK(Table1[[#This Row],['# FTE staff in role]]),Table1[[#This Row],[Total Wage]]/(Table1[[#This Row],[Combined hrs per week]]*($J$3/7)),(Table1[[#This Row],[an. Wage Per FTE]]/Table1[[#This Row],[an. hrs per fte]]/24))</f>
        <v>#DIV/0!</v>
      </c>
      <c r="O23" s="327" t="str">
        <f>IF(ISBLANK(Table1[[#This Row],[Role]]),"",Table1[[#This Row],[Role]])</f>
        <v xml:space="preserve">Laundry </v>
      </c>
      <c r="P23" s="309" t="str">
        <f>IF(ISBLANK(Table1[[#This Row],[Role type]]),"",Table1[[#This Row],[Role type]])</f>
        <v>background support for the individual</v>
      </c>
      <c r="Q23" s="331" t="str">
        <f>IF(ISBLANK(Table1[[#This Row],[Rate]]),"",Table1[[#This Row],[Rate]])</f>
        <v/>
      </c>
      <c r="R23" s="331" t="str">
        <f>IF(ISBLANK(Table1[[#This Row],[Hrly Staff only Bank Hol hrly rate 1]]),"",Table1[[#This Row],[Hrly Staff only Bank Hol hrly rate 1]])</f>
        <v/>
      </c>
      <c r="S23" s="331">
        <f>IF(ISBLANK(Table1[[#This Row],[Hrly Staff only Bank Hol hrly rate 2]]),0,Table1[[#This Row],[Hrly Staff only Bank Hol hrly rate 2]])</f>
        <v>0</v>
      </c>
      <c r="T23" s="331" t="str">
        <f>IF(ISBLANK(Table1[[#This Row],[Per (Year /Hr)]]),"",Table1[[#This Row],[Per (Year /Hr)]])</f>
        <v>hour</v>
      </c>
      <c r="U23" s="455" t="str">
        <f>IF(ISBLANK(Table1[[#This Row],['# FTE staff in role]]),"",Table1[[#This Row],['# FTE staff in role]])</f>
        <v/>
      </c>
      <c r="V23" s="317" t="str">
        <f>IF(ISBLANK(Table1[[#This Row],[Combined hrs per week]]),"",Table1[[#This Row],[Combined hrs per week]])</f>
        <v/>
      </c>
      <c r="W23"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3" s="34" t="str">
        <f>IFERROR(IF(Table14[[#This Row],[Per]]="year","",$X$6*Table14[[#This Row],[Cohort Wage (includes BH for hrly rate staff)]]),"")</f>
        <v/>
      </c>
      <c r="Y23" s="35">
        <f>IFERROR(IF(Table14[[#This Row],[Per]]="year",Table14[[#This Row],[Cohort Wage (includes BH for hrly rate staff)]],Table14[[#This Row],[Cohort Wage (includes BH for hrly rate staff)]]+Table14[[#This Row],[Hrly staff AL accrual]]),0)</f>
        <v>0</v>
      </c>
      <c r="Z23" s="70" t="e">
        <f>((Table14[Revised Combined hrs per week]/Table14[Revised '# Staff in role])*($X$3/7))</f>
        <v>#VALUE!</v>
      </c>
      <c r="AA23" s="70" t="e">
        <f>Table14[[#This Row],[Total Wage]]/Table14[Revised '# Staff in role]</f>
        <v>#VALUE!</v>
      </c>
      <c r="AB23" s="70" t="e">
        <f>(Table14[[#This Row],[an wg per fte]]/Table14[[#This Row],[an hrs per fte]]/24)</f>
        <v>#VALUE!</v>
      </c>
    </row>
    <row r="24" spans="1:28" x14ac:dyDescent="0.35">
      <c r="A24" s="328" t="s">
        <v>335</v>
      </c>
      <c r="B24" s="309" t="s">
        <v>58</v>
      </c>
      <c r="C24" s="227"/>
      <c r="D24" s="227"/>
      <c r="E24" s="227"/>
      <c r="F24" s="388" t="s">
        <v>19</v>
      </c>
      <c r="G24" s="388"/>
      <c r="H24" s="228"/>
      <c r="I24"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4" s="34" t="str">
        <f>IFERROR(IF(Table1[[#This Row],[Per (Year /Hr)]]="year","",$J$6*Table1[[#This Row],[Cohort wage (includes BH for hrly staff)]]),"")</f>
        <v/>
      </c>
      <c r="K24" s="185">
        <f>IFERROR(IF(Table1[[#This Row],[Per (Year /Hr)]]="year",Table1[[#This Row],[Cohort wage (includes BH for hrly staff)]],Table1[[#This Row],[Cohort wage (includes BH for hrly staff)]]+Table1[[#This Row],[Hrly staff AL accrual]]),0)</f>
        <v>0</v>
      </c>
      <c r="L24" s="144" t="e">
        <f>((Table1[[#This Row],[Combined hrs per week]]/Table1[[#This Row],['# FTE staff in role]])*($J$3/7))</f>
        <v>#DIV/0!</v>
      </c>
      <c r="M24" s="145" t="e">
        <f>Table1[[#This Row],[Total Wage]]/Table1[[#This Row],['# FTE staff in role]]</f>
        <v>#DIV/0!</v>
      </c>
      <c r="N24" s="145" t="e">
        <f>IF(ISBLANK(Table1[[#This Row],['# FTE staff in role]]),Table1[[#This Row],[Total Wage]]/(Table1[[#This Row],[Combined hrs per week]]*($J$3/7)),(Table1[[#This Row],[an. Wage Per FTE]]/Table1[[#This Row],[an. hrs per fte]]/24))</f>
        <v>#DIV/0!</v>
      </c>
      <c r="O24" s="327" t="str">
        <f>IF(ISBLANK(Table1[[#This Row],[Role]]),"",Table1[[#This Row],[Role]])</f>
        <v>Handyman/Gardener</v>
      </c>
      <c r="P24" s="309" t="str">
        <f>IF(ISBLANK(Table1[[#This Row],[Role type]]),"",Table1[[#This Row],[Role type]])</f>
        <v>background support for the individual</v>
      </c>
      <c r="Q24" s="331" t="str">
        <f>IF(ISBLANK(Table1[[#This Row],[Rate]]),"",Table1[[#This Row],[Rate]])</f>
        <v/>
      </c>
      <c r="R24" s="331" t="str">
        <f>IF(ISBLANK(Table1[[#This Row],[Hrly Staff only Bank Hol hrly rate 1]]),"",Table1[[#This Row],[Hrly Staff only Bank Hol hrly rate 1]])</f>
        <v/>
      </c>
      <c r="S24" s="331">
        <f>IF(ISBLANK(Table1[[#This Row],[Hrly Staff only Bank Hol hrly rate 2]]),0,Table1[[#This Row],[Hrly Staff only Bank Hol hrly rate 2]])</f>
        <v>0</v>
      </c>
      <c r="T24" s="331" t="str">
        <f>IF(ISBLANK(Table1[[#This Row],[Per (Year /Hr)]]),"",Table1[[#This Row],[Per (Year /Hr)]])</f>
        <v>hour</v>
      </c>
      <c r="U24" s="455" t="str">
        <f>IF(ISBLANK(Table1[[#This Row],['# FTE staff in role]]),"",Table1[[#This Row],['# FTE staff in role]])</f>
        <v/>
      </c>
      <c r="V24" s="317" t="str">
        <f>IF(ISBLANK(Table1[[#This Row],[Combined hrs per week]]),"",Table1[[#This Row],[Combined hrs per week]])</f>
        <v/>
      </c>
      <c r="W24"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4" s="34" t="str">
        <f>IFERROR(IF(Table14[[#This Row],[Per]]="year","",$X$6*Table14[[#This Row],[Cohort Wage (includes BH for hrly rate staff)]]),"")</f>
        <v/>
      </c>
      <c r="Y24" s="35">
        <f>IFERROR(IF(Table14[[#This Row],[Per]]="year",Table14[[#This Row],[Cohort Wage (includes BH for hrly rate staff)]],Table14[[#This Row],[Cohort Wage (includes BH for hrly rate staff)]]+Table14[[#This Row],[Hrly staff AL accrual]]),0)</f>
        <v>0</v>
      </c>
      <c r="Z24" s="70" t="e">
        <f>((Table14[Revised Combined hrs per week]/Table14[Revised '# Staff in role])*($X$3/7))</f>
        <v>#VALUE!</v>
      </c>
      <c r="AA24" s="70" t="e">
        <f>Table14[[#This Row],[Total Wage]]/Table14[Revised '# Staff in role]</f>
        <v>#VALUE!</v>
      </c>
      <c r="AB24" s="70" t="e">
        <f>(Table14[[#This Row],[an wg per fte]]/Table14[[#This Row],[an hrs per fte]]/24)</f>
        <v>#VALUE!</v>
      </c>
    </row>
    <row r="25" spans="1:28" x14ac:dyDescent="0.35">
      <c r="A25" s="328" t="s">
        <v>336</v>
      </c>
      <c r="B25" s="309" t="s">
        <v>58</v>
      </c>
      <c r="C25" s="227"/>
      <c r="D25" s="227"/>
      <c r="E25" s="227"/>
      <c r="F25" s="388" t="s">
        <v>19</v>
      </c>
      <c r="G25" s="388"/>
      <c r="H25" s="228"/>
      <c r="I25"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5" s="34" t="str">
        <f>IFERROR(IF(Table1[[#This Row],[Per (Year /Hr)]]="year","",$J$6*Table1[[#This Row],[Cohort wage (includes BH for hrly staff)]]),"")</f>
        <v/>
      </c>
      <c r="K25" s="185">
        <f>IFERROR(IF(Table1[[#This Row],[Per (Year /Hr)]]="year",Table1[[#This Row],[Cohort wage (includes BH for hrly staff)]],Table1[[#This Row],[Cohort wage (includes BH for hrly staff)]]+Table1[[#This Row],[Hrly staff AL accrual]]),0)</f>
        <v>0</v>
      </c>
      <c r="L25" s="144" t="e">
        <f>((Table1[[#This Row],[Combined hrs per week]]/Table1[[#This Row],['# FTE staff in role]])*($J$3/7))</f>
        <v>#DIV/0!</v>
      </c>
      <c r="M25" s="145" t="e">
        <f>Table1[[#This Row],[Total Wage]]/Table1[[#This Row],['# FTE staff in role]]</f>
        <v>#DIV/0!</v>
      </c>
      <c r="N25" s="145" t="e">
        <f>IF(ISBLANK(Table1[[#This Row],['# FTE staff in role]]),Table1[[#This Row],[Total Wage]]/(Table1[[#This Row],[Combined hrs per week]]*($J$3/7)),(Table1[[#This Row],[an. Wage Per FTE]]/Table1[[#This Row],[an. hrs per fte]]/24))</f>
        <v>#DIV/0!</v>
      </c>
      <c r="O25" s="327" t="str">
        <f>IF(ISBLANK(Table1[[#This Row],[Role]]),"",Table1[[#This Row],[Role]])</f>
        <v>Kitchen assistants</v>
      </c>
      <c r="P25" s="309" t="str">
        <f>IF(ISBLANK(Table1[[#This Row],[Role type]]),"",Table1[[#This Row],[Role type]])</f>
        <v>background support for the individual</v>
      </c>
      <c r="Q25" s="331" t="str">
        <f>IF(ISBLANK(Table1[[#This Row],[Rate]]),"",Table1[[#This Row],[Rate]])</f>
        <v/>
      </c>
      <c r="R25" s="331" t="str">
        <f>IF(ISBLANK(Table1[[#This Row],[Hrly Staff only Bank Hol hrly rate 1]]),"",Table1[[#This Row],[Hrly Staff only Bank Hol hrly rate 1]])</f>
        <v/>
      </c>
      <c r="S25" s="331">
        <f>IF(ISBLANK(Table1[[#This Row],[Hrly Staff only Bank Hol hrly rate 2]]),0,Table1[[#This Row],[Hrly Staff only Bank Hol hrly rate 2]])</f>
        <v>0</v>
      </c>
      <c r="T25" s="331" t="str">
        <f>IF(ISBLANK(Table1[[#This Row],[Per (Year /Hr)]]),"",Table1[[#This Row],[Per (Year /Hr)]])</f>
        <v>hour</v>
      </c>
      <c r="U25" s="455" t="str">
        <f>IF(ISBLANK(Table1[[#This Row],['# FTE staff in role]]),"",Table1[[#This Row],['# FTE staff in role]])</f>
        <v/>
      </c>
      <c r="V25" s="317" t="str">
        <f>IF(ISBLANK(Table1[[#This Row],[Combined hrs per week]]),"",Table1[[#This Row],[Combined hrs per week]])</f>
        <v/>
      </c>
      <c r="W25"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5" s="34" t="str">
        <f>IFERROR(IF(Table14[[#This Row],[Per]]="year","",$X$6*Table14[[#This Row],[Cohort Wage (includes BH for hrly rate staff)]]),"")</f>
        <v/>
      </c>
      <c r="Y25" s="35">
        <f>IFERROR(IF(Table14[[#This Row],[Per]]="year",Table14[[#This Row],[Cohort Wage (includes BH for hrly rate staff)]],Table14[[#This Row],[Cohort Wage (includes BH for hrly rate staff)]]+Table14[[#This Row],[Hrly staff AL accrual]]),0)</f>
        <v>0</v>
      </c>
      <c r="Z25" s="70" t="e">
        <f>((Table14[Revised Combined hrs per week]/Table14[Revised '# Staff in role])*($X$3/7))</f>
        <v>#VALUE!</v>
      </c>
      <c r="AA25" s="70" t="e">
        <f>Table14[[#This Row],[Total Wage]]/Table14[Revised '# Staff in role]</f>
        <v>#VALUE!</v>
      </c>
      <c r="AB25" s="70" t="e">
        <f>(Table14[[#This Row],[an wg per fte]]/Table14[[#This Row],[an hrs per fte]]/24)</f>
        <v>#VALUE!</v>
      </c>
    </row>
    <row r="26" spans="1:28" x14ac:dyDescent="0.35">
      <c r="A26" s="329" t="s">
        <v>337</v>
      </c>
      <c r="B26" s="330" t="s">
        <v>58</v>
      </c>
      <c r="C26" s="227"/>
      <c r="D26" s="227"/>
      <c r="E26" s="227"/>
      <c r="F26" s="388" t="s">
        <v>19</v>
      </c>
      <c r="G26" s="388"/>
      <c r="H26" s="228"/>
      <c r="I26"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6" s="34" t="str">
        <f>IFERROR(IF(Table1[[#This Row],[Per (Year /Hr)]]="year","",$J$6*Table1[[#This Row],[Cohort wage (includes BH for hrly staff)]]),"")</f>
        <v/>
      </c>
      <c r="K26" s="185">
        <f>IFERROR(IF(Table1[[#This Row],[Per (Year /Hr)]]="year",Table1[[#This Row],[Cohort wage (includes BH for hrly staff)]],Table1[[#This Row],[Cohort wage (includes BH for hrly staff)]]+Table1[[#This Row],[Hrly staff AL accrual]]),0)</f>
        <v>0</v>
      </c>
      <c r="L26" s="144" t="e">
        <f>((Table1[[#This Row],[Combined hrs per week]]/Table1[[#This Row],['# FTE staff in role]])*($J$3/7))</f>
        <v>#DIV/0!</v>
      </c>
      <c r="M26" s="145" t="e">
        <f>Table1[[#This Row],[Total Wage]]/Table1[[#This Row],['# FTE staff in role]]</f>
        <v>#DIV/0!</v>
      </c>
      <c r="N26" s="145" t="e">
        <f>IF(ISBLANK(Table1[[#This Row],['# FTE staff in role]]),Table1[[#This Row],[Total Wage]]/(Table1[[#This Row],[Combined hrs per week]]*($J$3/7)),(Table1[[#This Row],[an. Wage Per FTE]]/Table1[[#This Row],[an. hrs per fte]]/24))</f>
        <v>#DIV/0!</v>
      </c>
      <c r="O26" s="327" t="str">
        <f>IF(ISBLANK(Table1[[#This Row],[Role]]),"",Table1[[#This Row],[Role]])</f>
        <v>Chef/ Cook</v>
      </c>
      <c r="P26" s="309" t="str">
        <f>IF(ISBLANK(Table1[[#This Row],[Role type]]),"",Table1[[#This Row],[Role type]])</f>
        <v>background support for the individual</v>
      </c>
      <c r="Q26" s="331" t="str">
        <f>IF(ISBLANK(Table1[[#This Row],[Rate]]),"",Table1[[#This Row],[Rate]])</f>
        <v/>
      </c>
      <c r="R26" s="331" t="str">
        <f>IF(ISBLANK(Table1[[#This Row],[Hrly Staff only Bank Hol hrly rate 1]]),"",Table1[[#This Row],[Hrly Staff only Bank Hol hrly rate 1]])</f>
        <v/>
      </c>
      <c r="S26" s="331">
        <f>IF(ISBLANK(Table1[[#This Row],[Hrly Staff only Bank Hol hrly rate 2]]),0,Table1[[#This Row],[Hrly Staff only Bank Hol hrly rate 2]])</f>
        <v>0</v>
      </c>
      <c r="T26" s="331" t="str">
        <f>IF(ISBLANK(Table1[[#This Row],[Per (Year /Hr)]]),"",Table1[[#This Row],[Per (Year /Hr)]])</f>
        <v>hour</v>
      </c>
      <c r="U26" s="455" t="str">
        <f>IF(ISBLANK(Table1[[#This Row],['# FTE staff in role]]),"",Table1[[#This Row],['# FTE staff in role]])</f>
        <v/>
      </c>
      <c r="V26" s="317" t="str">
        <f>IF(ISBLANK(Table1[[#This Row],[Combined hrs per week]]),"",Table1[[#This Row],[Combined hrs per week]])</f>
        <v/>
      </c>
      <c r="W26"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6" s="34" t="str">
        <f>IFERROR(IF(Table14[[#This Row],[Per]]="year","",$X$6*Table14[[#This Row],[Cohort Wage (includes BH for hrly rate staff)]]),"")</f>
        <v/>
      </c>
      <c r="Y26" s="35">
        <f>IFERROR(IF(Table14[[#This Row],[Per]]="year",Table14[[#This Row],[Cohort Wage (includes BH for hrly rate staff)]],Table14[[#This Row],[Cohort Wage (includes BH for hrly rate staff)]]+Table14[[#This Row],[Hrly staff AL accrual]]),0)</f>
        <v>0</v>
      </c>
      <c r="Z26" s="70" t="e">
        <f>((Table14[Revised Combined hrs per week]/Table14[Revised '# Staff in role])*($X$3/7))</f>
        <v>#VALUE!</v>
      </c>
      <c r="AA26" s="70" t="e">
        <f>Table14[[#This Row],[Total Wage]]/Table14[Revised '# Staff in role]</f>
        <v>#VALUE!</v>
      </c>
      <c r="AB26" s="70" t="e">
        <f>(Table14[[#This Row],[an wg per fte]]/Table14[[#This Row],[an hrs per fte]]/24)</f>
        <v>#VALUE!</v>
      </c>
    </row>
    <row r="27" spans="1:28" x14ac:dyDescent="0.35">
      <c r="A27" s="327" t="s">
        <v>338</v>
      </c>
      <c r="B27" s="330" t="s">
        <v>39</v>
      </c>
      <c r="C27" s="227"/>
      <c r="D27" s="227"/>
      <c r="E27" s="227"/>
      <c r="F27" s="388" t="s">
        <v>19</v>
      </c>
      <c r="G27" s="388"/>
      <c r="H27" s="228"/>
      <c r="I27"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7" s="34" t="str">
        <f>IFERROR(IF(Table1[[#This Row],[Per (Year /Hr)]]="year","",$J$6*Table1[[#This Row],[Cohort wage (includes BH for hrly staff)]]),"")</f>
        <v/>
      </c>
      <c r="K27" s="185">
        <f>IFERROR(IF(Table1[[#This Row],[Per (Year /Hr)]]="year",Table1[[#This Row],[Cohort wage (includes BH for hrly staff)]],Table1[[#This Row],[Cohort wage (includes BH for hrly staff)]]+Table1[[#This Row],[Hrly staff AL accrual]]),0)</f>
        <v>0</v>
      </c>
      <c r="L27" s="144" t="e">
        <f>((Table1[[#This Row],[Combined hrs per week]]/Table1[[#This Row],['# FTE staff in role]])*($J$3/7))</f>
        <v>#DIV/0!</v>
      </c>
      <c r="M27" s="145" t="e">
        <f>Table1[[#This Row],[Total Wage]]/Table1[[#This Row],['# FTE staff in role]]</f>
        <v>#DIV/0!</v>
      </c>
      <c r="N27" s="145" t="e">
        <f>IF(ISBLANK(Table1[[#This Row],['# FTE staff in role]]),Table1[[#This Row],[Total Wage]]/(Table1[[#This Row],[Combined hrs per week]]*($J$3/7)),(Table1[[#This Row],[an. Wage Per FTE]]/Table1[[#This Row],[an. hrs per fte]]/24))</f>
        <v>#DIV/0!</v>
      </c>
      <c r="O27" s="327" t="str">
        <f>IF(ISBLANK(Table1[[#This Row],[Role]]),"",Table1[[#This Row],[Role]])</f>
        <v>Administration</v>
      </c>
      <c r="P27" s="309" t="str">
        <f>IF(ISBLANK(Table1[[#This Row],[Role type]]),"",Table1[[#This Row],[Role type]])</f>
        <v>care management</v>
      </c>
      <c r="Q27" s="331" t="str">
        <f>IF(ISBLANK(Table1[[#This Row],[Rate]]),"",Table1[[#This Row],[Rate]])</f>
        <v/>
      </c>
      <c r="R27" s="331" t="str">
        <f>IF(ISBLANK(Table1[[#This Row],[Hrly Staff only Bank Hol hrly rate 1]]),"",Table1[[#This Row],[Hrly Staff only Bank Hol hrly rate 1]])</f>
        <v/>
      </c>
      <c r="S27" s="331">
        <f>IF(ISBLANK(Table1[[#This Row],[Hrly Staff only Bank Hol hrly rate 2]]),0,Table1[[#This Row],[Hrly Staff only Bank Hol hrly rate 2]])</f>
        <v>0</v>
      </c>
      <c r="T27" s="331" t="str">
        <f>IF(ISBLANK(Table1[[#This Row],[Per (Year /Hr)]]),"",Table1[[#This Row],[Per (Year /Hr)]])</f>
        <v>hour</v>
      </c>
      <c r="U27" s="455" t="str">
        <f>IF(ISBLANK(Table1[[#This Row],['# FTE staff in role]]),"",Table1[[#This Row],['# FTE staff in role]])</f>
        <v/>
      </c>
      <c r="V27" s="317" t="str">
        <f>IF(ISBLANK(Table1[[#This Row],[Combined hrs per week]]),"",Table1[[#This Row],[Combined hrs per week]])</f>
        <v/>
      </c>
      <c r="W27"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7" s="34" t="str">
        <f>IFERROR(IF(Table14[[#This Row],[Per]]="year","",$X$6*Table14[[#This Row],[Cohort Wage (includes BH for hrly rate staff)]]),"")</f>
        <v/>
      </c>
      <c r="Y27" s="35">
        <f>IFERROR(IF(Table14[[#This Row],[Per]]="year",Table14[[#This Row],[Cohort Wage (includes BH for hrly rate staff)]],Table14[[#This Row],[Cohort Wage (includes BH for hrly rate staff)]]+Table14[[#This Row],[Hrly staff AL accrual]]),0)</f>
        <v>0</v>
      </c>
      <c r="Z27" s="70" t="e">
        <f>((Table14[Revised Combined hrs per week]/Table14[Revised '# Staff in role])*($X$3/7))</f>
        <v>#VALUE!</v>
      </c>
      <c r="AA27" s="70" t="e">
        <f>Table14[[#This Row],[Total Wage]]/Table14[Revised '# Staff in role]</f>
        <v>#VALUE!</v>
      </c>
      <c r="AB27" s="70" t="e">
        <f>(Table14[[#This Row],[an wg per fte]]/Table14[[#This Row],[an hrs per fte]]/24)</f>
        <v>#VALUE!</v>
      </c>
    </row>
    <row r="28" spans="1:28" x14ac:dyDescent="0.35">
      <c r="A28" s="327" t="s">
        <v>339</v>
      </c>
      <c r="B28" s="330" t="s">
        <v>39</v>
      </c>
      <c r="C28" s="227"/>
      <c r="D28" s="227"/>
      <c r="E28" s="227"/>
      <c r="F28" s="388" t="s">
        <v>21</v>
      </c>
      <c r="G28" s="388"/>
      <c r="H28" s="228"/>
      <c r="I28"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8" s="34" t="str">
        <f>IFERROR(IF(Table1[[#This Row],[Per (Year /Hr)]]="year","",$J$6*Table1[[#This Row],[Cohort wage (includes BH for hrly staff)]]),"")</f>
        <v/>
      </c>
      <c r="K28" s="185" t="str">
        <f>IFERROR(IF(Table1[[#This Row],[Per (Year /Hr)]]="year",Table1[[#This Row],[Cohort wage (includes BH for hrly staff)]],Table1[[#This Row],[Cohort wage (includes BH for hrly staff)]]+Table1[[#This Row],[Hrly staff AL accrual]]),0)</f>
        <v/>
      </c>
      <c r="L28" s="144" t="e">
        <f>((Table1[[#This Row],[Combined hrs per week]]/Table1[[#This Row],['# FTE staff in role]])*($J$3/7))</f>
        <v>#DIV/0!</v>
      </c>
      <c r="M28" s="145" t="e">
        <f>Table1[[#This Row],[Total Wage]]/Table1[[#This Row],['# FTE staff in role]]</f>
        <v>#VALUE!</v>
      </c>
      <c r="N28" s="145" t="e">
        <f>IF(ISBLANK(Table1[[#This Row],['# FTE staff in role]]),Table1[[#This Row],[Total Wage]]/(Table1[[#This Row],[Combined hrs per week]]*($J$3/7)),(Table1[[#This Row],[an. Wage Per FTE]]/Table1[[#This Row],[an. hrs per fte]]/24))</f>
        <v>#VALUE!</v>
      </c>
      <c r="O28" s="327" t="str">
        <f>IF(ISBLANK(Table1[[#This Row],[Role]]),"",Table1[[#This Row],[Role]])</f>
        <v>Manager</v>
      </c>
      <c r="P28" s="309" t="str">
        <f>IF(ISBLANK(Table1[[#This Row],[Role type]]),"",Table1[[#This Row],[Role type]])</f>
        <v>care management</v>
      </c>
      <c r="Q28" s="331" t="str">
        <f>IF(ISBLANK(Table1[[#This Row],[Rate]]),"",Table1[[#This Row],[Rate]])</f>
        <v/>
      </c>
      <c r="R28" s="331" t="str">
        <f>IF(ISBLANK(Table1[[#This Row],[Hrly Staff only Bank Hol hrly rate 1]]),"",Table1[[#This Row],[Hrly Staff only Bank Hol hrly rate 1]])</f>
        <v/>
      </c>
      <c r="S28" s="331">
        <f>IF(ISBLANK(Table1[[#This Row],[Hrly Staff only Bank Hol hrly rate 2]]),0,Table1[[#This Row],[Hrly Staff only Bank Hol hrly rate 2]])</f>
        <v>0</v>
      </c>
      <c r="T28" s="331" t="str">
        <f>IF(ISBLANK(Table1[[#This Row],[Per (Year /Hr)]]),"",Table1[[#This Row],[Per (Year /Hr)]])</f>
        <v>year</v>
      </c>
      <c r="U28" s="455" t="str">
        <f>IF(ISBLANK(Table1[[#This Row],['# FTE staff in role]]),"",Table1[[#This Row],['# FTE staff in role]])</f>
        <v/>
      </c>
      <c r="V28" s="317" t="str">
        <f>IF(ISBLANK(Table1[[#This Row],[Combined hrs per week]]),"",Table1[[#This Row],[Combined hrs per week]])</f>
        <v/>
      </c>
      <c r="W28"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8" s="34" t="str">
        <f>IFERROR(IF(Table14[[#This Row],[Per]]="year","",$X$6*Table14[[#This Row],[Cohort Wage (includes BH for hrly rate staff)]]),"")</f>
        <v/>
      </c>
      <c r="Y28" s="35" t="str">
        <f>IFERROR(IF(Table14[[#This Row],[Per]]="year",Table14[[#This Row],[Cohort Wage (includes BH for hrly rate staff)]],Table14[[#This Row],[Cohort Wage (includes BH for hrly rate staff)]]+Table14[[#This Row],[Hrly staff AL accrual]]),0)</f>
        <v/>
      </c>
      <c r="Z28" s="70" t="e">
        <f>((Table14[Revised Combined hrs per week]/Table14[Revised '# Staff in role])*($X$3/7))</f>
        <v>#VALUE!</v>
      </c>
      <c r="AA28" s="70" t="e">
        <f>Table14[[#This Row],[Total Wage]]/Table14[Revised '# Staff in role]</f>
        <v>#VALUE!</v>
      </c>
      <c r="AB28" s="70" t="e">
        <f>(Table14[[#This Row],[an wg per fte]]/Table14[[#This Row],[an hrs per fte]]/24)</f>
        <v>#VALUE!</v>
      </c>
    </row>
    <row r="29" spans="1:28" x14ac:dyDescent="0.35">
      <c r="A29" s="327" t="s">
        <v>179</v>
      </c>
      <c r="B29" s="330" t="s">
        <v>188</v>
      </c>
      <c r="C29" s="227"/>
      <c r="D29" s="227"/>
      <c r="E29" s="227"/>
      <c r="F29" s="388" t="s">
        <v>21</v>
      </c>
      <c r="G29" s="388"/>
      <c r="H29" s="228"/>
      <c r="I29"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29" s="34" t="str">
        <f>IFERROR(IF(Table1[[#This Row],[Per (Year /Hr)]]="year","",$J$6*Table1[[#This Row],[Cohort wage (includes BH for hrly staff)]]),"")</f>
        <v/>
      </c>
      <c r="K29" s="185" t="str">
        <f>IFERROR(IF(Table1[[#This Row],[Per (Year /Hr)]]="year",Table1[[#This Row],[Cohort wage (includes BH for hrly staff)]],Table1[[#This Row],[Cohort wage (includes BH for hrly staff)]]+Table1[[#This Row],[Hrly staff AL accrual]]),0)</f>
        <v/>
      </c>
      <c r="L29" s="144" t="e">
        <f>((Table1[[#This Row],[Combined hrs per week]]/Table1[[#This Row],['# FTE staff in role]])*($J$3/7))</f>
        <v>#DIV/0!</v>
      </c>
      <c r="M29" s="145" t="e">
        <f>Table1[[#This Row],[Total Wage]]/Table1[[#This Row],['# FTE staff in role]]</f>
        <v>#VALUE!</v>
      </c>
      <c r="N29" s="145" t="e">
        <f>IF(ISBLANK(Table1[[#This Row],['# FTE staff in role]]),Table1[[#This Row],[Total Wage]]/(Table1[[#This Row],[Combined hrs per week]]*($J$3/7)),(Table1[[#This Row],[an. Wage Per FTE]]/Table1[[#This Row],[an. hrs per fte]]/24))</f>
        <v>#VALUE!</v>
      </c>
      <c r="O29" s="327" t="str">
        <f>IF(ISBLANK(Table1[[#This Row],[Role]]),"",Table1[[#This Row],[Role]])</f>
        <v>Agency Staff</v>
      </c>
      <c r="P29" s="309" t="str">
        <f>IF(ISBLANK(Table1[[#This Row],[Role type]]),"",Table1[[#This Row],[Role type]])</f>
        <v>agency</v>
      </c>
      <c r="Q29" s="331" t="str">
        <f>IF(ISBLANK(Table1[[#This Row],[Rate]]),"",Table1[[#This Row],[Rate]])</f>
        <v/>
      </c>
      <c r="R29" s="331" t="str">
        <f>IF(ISBLANK(Table1[[#This Row],[Hrly Staff only Bank Hol hrly rate 1]]),"",Table1[[#This Row],[Hrly Staff only Bank Hol hrly rate 1]])</f>
        <v/>
      </c>
      <c r="S29" s="331">
        <f>IF(ISBLANK(Table1[[#This Row],[Hrly Staff only Bank Hol hrly rate 2]]),0,Table1[[#This Row],[Hrly Staff only Bank Hol hrly rate 2]])</f>
        <v>0</v>
      </c>
      <c r="T29" s="331" t="str">
        <f>IF(ISBLANK(Table1[[#This Row],[Per (Year /Hr)]]),"",Table1[[#This Row],[Per (Year /Hr)]])</f>
        <v>year</v>
      </c>
      <c r="U29" s="455" t="str">
        <f>IF(ISBLANK(Table1[[#This Row],['# FTE staff in role]]),"",Table1[[#This Row],['# FTE staff in role]])</f>
        <v/>
      </c>
      <c r="V29" s="317" t="str">
        <f>IF(ISBLANK(Table1[[#This Row],[Combined hrs per week]]),"",Table1[[#This Row],[Combined hrs per week]])</f>
        <v/>
      </c>
      <c r="W29"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29" s="34" t="str">
        <f>IFERROR(IF(Table14[[#This Row],[Per]]="year","",$X$6*Table14[[#This Row],[Cohort Wage (includes BH for hrly rate staff)]]),"")</f>
        <v/>
      </c>
      <c r="Y29" s="35" t="str">
        <f>IFERROR(IF(Table14[[#This Row],[Per]]="year",Table14[[#This Row],[Cohort Wage (includes BH for hrly rate staff)]],Table14[[#This Row],[Cohort Wage (includes BH for hrly rate staff)]]+Table14[[#This Row],[Hrly staff AL accrual]]),0)</f>
        <v/>
      </c>
      <c r="Z29" s="70" t="e">
        <f>((Table14[Revised Combined hrs per week]/Table14[Revised '# Staff in role])*($X$3/7))</f>
        <v>#VALUE!</v>
      </c>
      <c r="AA29" s="70" t="e">
        <f>Table14[[#This Row],[Total Wage]]/Table14[Revised '# Staff in role]</f>
        <v>#VALUE!</v>
      </c>
      <c r="AB29" s="70" t="e">
        <f>(Table14[[#This Row],[an wg per fte]]/Table14[[#This Row],[an hrs per fte]]/24)</f>
        <v>#VALUE!</v>
      </c>
    </row>
    <row r="30" spans="1:28" x14ac:dyDescent="0.35">
      <c r="A30" s="327" t="s">
        <v>340</v>
      </c>
      <c r="B30" s="330" t="s">
        <v>58</v>
      </c>
      <c r="C30" s="227"/>
      <c r="D30" s="227"/>
      <c r="E30" s="227"/>
      <c r="F30" s="388"/>
      <c r="G30" s="388"/>
      <c r="H30" s="228"/>
      <c r="I30"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0" s="34" t="str">
        <f>IFERROR(IF(Table1[[#This Row],[Per (Year /Hr)]]="year","",$J$6*Table1[[#This Row],[Cohort wage (includes BH for hrly staff)]]),"")</f>
        <v/>
      </c>
      <c r="K30" s="185">
        <f>IFERROR(IF(Table1[[#This Row],[Per (Year /Hr)]]="year",Table1[[#This Row],[Cohort wage (includes BH for hrly staff)]],Table1[[#This Row],[Cohort wage (includes BH for hrly staff)]]+Table1[[#This Row],[Hrly staff AL accrual]]),0)</f>
        <v>0</v>
      </c>
      <c r="L30" s="144" t="e">
        <f>((Table1[[#This Row],[Combined hrs per week]]/Table1[[#This Row],['# FTE staff in role]])*($J$3/7))</f>
        <v>#DIV/0!</v>
      </c>
      <c r="M30" s="145" t="e">
        <f>Table1[[#This Row],[Total Wage]]/Table1[[#This Row],['# FTE staff in role]]</f>
        <v>#DIV/0!</v>
      </c>
      <c r="N30" s="145" t="e">
        <f>IF(ISBLANK(Table1[[#This Row],['# FTE staff in role]]),Table1[[#This Row],[Total Wage]]/(Table1[[#This Row],[Combined hrs per week]]*($J$3/7)),(Table1[[#This Row],[an. Wage Per FTE]]/Table1[[#This Row],[an. hrs per fte]]/24))</f>
        <v>#DIV/0!</v>
      </c>
      <c r="O30" s="327" t="str">
        <f>IF(ISBLANK(Table1[[#This Row],[Role]]),"",Table1[[#This Row],[Role]])</f>
        <v>Staff on training courses/Supernumerate</v>
      </c>
      <c r="P30" s="309" t="str">
        <f>IF(ISBLANK(Table1[[#This Row],[Role type]]),"",Table1[[#This Row],[Role type]])</f>
        <v>background support for the individual</v>
      </c>
      <c r="Q30" s="331" t="str">
        <f>IF(ISBLANK(Table1[[#This Row],[Rate]]),"",Table1[[#This Row],[Rate]])</f>
        <v/>
      </c>
      <c r="R30" s="331" t="str">
        <f>IF(ISBLANK(Table1[[#This Row],[Hrly Staff only Bank Hol hrly rate 1]]),"",Table1[[#This Row],[Hrly Staff only Bank Hol hrly rate 1]])</f>
        <v/>
      </c>
      <c r="S30" s="331">
        <f>IF(ISBLANK(Table1[[#This Row],[Hrly Staff only Bank Hol hrly rate 2]]),0,Table1[[#This Row],[Hrly Staff only Bank Hol hrly rate 2]])</f>
        <v>0</v>
      </c>
      <c r="T30" s="331" t="str">
        <f>IF(ISBLANK(Table1[[#This Row],[Per (Year /Hr)]]),"",Table1[[#This Row],[Per (Year /Hr)]])</f>
        <v/>
      </c>
      <c r="U30" s="455" t="str">
        <f>IF(ISBLANK(Table1[[#This Row],['# FTE staff in role]]),"",Table1[[#This Row],['# FTE staff in role]])</f>
        <v/>
      </c>
      <c r="V30" s="317" t="str">
        <f>IF(ISBLANK(Table1[[#This Row],[Combined hrs per week]]),"",Table1[[#This Row],[Combined hrs per week]])</f>
        <v/>
      </c>
      <c r="W30"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0" s="34" t="str">
        <f>IFERROR(IF(Table14[[#This Row],[Per]]="year","",$X$6*Table14[[#This Row],[Cohort Wage (includes BH for hrly rate staff)]]),"")</f>
        <v/>
      </c>
      <c r="Y30" s="35">
        <f>IFERROR(IF(Table14[[#This Row],[Per]]="year",Table14[[#This Row],[Cohort Wage (includes BH for hrly rate staff)]],Table14[[#This Row],[Cohort Wage (includes BH for hrly rate staff)]]+Table14[[#This Row],[Hrly staff AL accrual]]),0)</f>
        <v>0</v>
      </c>
      <c r="Z30" s="70" t="e">
        <f>((Table14[Revised Combined hrs per week]/Table14[Revised '# Staff in role])*($X$3/7))</f>
        <v>#VALUE!</v>
      </c>
      <c r="AA30" s="70" t="e">
        <f>Table14[[#This Row],[Total Wage]]/Table14[Revised '# Staff in role]</f>
        <v>#VALUE!</v>
      </c>
      <c r="AB30" s="70" t="e">
        <f>(Table14[[#This Row],[an wg per fte]]/Table14[[#This Row],[an hrs per fte]]/24)</f>
        <v>#VALUE!</v>
      </c>
    </row>
    <row r="31" spans="1:28" x14ac:dyDescent="0.35">
      <c r="A31" s="327"/>
      <c r="B31" s="330"/>
      <c r="C31" s="227"/>
      <c r="D31" s="227"/>
      <c r="E31" s="227"/>
      <c r="F31" s="388"/>
      <c r="G31" s="388"/>
      <c r="H31" s="228"/>
      <c r="I31"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1" s="34" t="str">
        <f>IFERROR(IF(Table1[[#This Row],[Per (Year /Hr)]]="year","",$J$6*Table1[[#This Row],[Cohort wage (includes BH for hrly staff)]]),"")</f>
        <v/>
      </c>
      <c r="K31" s="185">
        <f>IFERROR(IF(Table1[[#This Row],[Per (Year /Hr)]]="year",Table1[[#This Row],[Cohort wage (includes BH for hrly staff)]],Table1[[#This Row],[Cohort wage (includes BH for hrly staff)]]+Table1[[#This Row],[Hrly staff AL accrual]]),0)</f>
        <v>0</v>
      </c>
      <c r="L31" s="144" t="e">
        <f>((Table1[[#This Row],[Combined hrs per week]]/Table1[[#This Row],['# FTE staff in role]])*($J$3/7))</f>
        <v>#DIV/0!</v>
      </c>
      <c r="M31" s="145" t="e">
        <f>Table1[[#This Row],[Total Wage]]/Table1[[#This Row],['# FTE staff in role]]</f>
        <v>#DIV/0!</v>
      </c>
      <c r="N31" s="145" t="e">
        <f>IF(ISBLANK(Table1[[#This Row],['# FTE staff in role]]),Table1[[#This Row],[Total Wage]]/(Table1[[#This Row],[Combined hrs per week]]*($J$3/7)),(Table1[[#This Row],[an. Wage Per FTE]]/Table1[[#This Row],[an. hrs per fte]]/24))</f>
        <v>#DIV/0!</v>
      </c>
      <c r="O31" s="327" t="str">
        <f>IF(ISBLANK(Table1[[#This Row],[Role]]),"",Table1[[#This Row],[Role]])</f>
        <v/>
      </c>
      <c r="P31" s="309" t="str">
        <f>IF(ISBLANK(Table1[[#This Row],[Role type]]),"",Table1[[#This Row],[Role type]])</f>
        <v/>
      </c>
      <c r="Q31" s="331" t="str">
        <f>IF(ISBLANK(Table1[[#This Row],[Rate]]),"",Table1[[#This Row],[Rate]])</f>
        <v/>
      </c>
      <c r="R31" s="331" t="str">
        <f>IF(ISBLANK(Table1[[#This Row],[Hrly Staff only Bank Hol hrly rate 1]]),"",Table1[[#This Row],[Hrly Staff only Bank Hol hrly rate 1]])</f>
        <v/>
      </c>
      <c r="S31" s="331">
        <f>IF(ISBLANK(Table1[[#This Row],[Hrly Staff only Bank Hol hrly rate 2]]),0,Table1[[#This Row],[Hrly Staff only Bank Hol hrly rate 2]])</f>
        <v>0</v>
      </c>
      <c r="T31" s="331" t="str">
        <f>IF(ISBLANK(Table1[[#This Row],[Per (Year /Hr)]]),"",Table1[[#This Row],[Per (Year /Hr)]])</f>
        <v/>
      </c>
      <c r="U31" s="455" t="str">
        <f>IF(ISBLANK(Table1[[#This Row],['# FTE staff in role]]),"",Table1[[#This Row],['# FTE staff in role]])</f>
        <v/>
      </c>
      <c r="V31" s="317" t="str">
        <f>IF(ISBLANK(Table1[[#This Row],[Combined hrs per week]]),"",Table1[[#This Row],[Combined hrs per week]])</f>
        <v/>
      </c>
      <c r="W31"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1" s="34" t="str">
        <f>IFERROR(IF(Table14[[#This Row],[Per]]="year","",$X$6*Table14[[#This Row],[Cohort Wage (includes BH for hrly rate staff)]]),"")</f>
        <v/>
      </c>
      <c r="Y31" s="35">
        <f>IFERROR(IF(Table14[[#This Row],[Per]]="year",Table14[[#This Row],[Cohort Wage (includes BH for hrly rate staff)]],Table14[[#This Row],[Cohort Wage (includes BH for hrly rate staff)]]+Table14[[#This Row],[Hrly staff AL accrual]]),0)</f>
        <v>0</v>
      </c>
      <c r="Z31" s="70" t="e">
        <f>((Table14[Revised Combined hrs per week]/Table14[Revised '# Staff in role])*($X$3/7))</f>
        <v>#VALUE!</v>
      </c>
      <c r="AA31" s="70" t="e">
        <f>Table14[[#This Row],[Total Wage]]/Table14[Revised '# Staff in role]</f>
        <v>#VALUE!</v>
      </c>
      <c r="AB31" s="70" t="e">
        <f>(Table14[[#This Row],[an wg per fte]]/Table14[[#This Row],[an hrs per fte]]/24)</f>
        <v>#VALUE!</v>
      </c>
    </row>
    <row r="32" spans="1:28" x14ac:dyDescent="0.35">
      <c r="A32" s="329"/>
      <c r="B32" s="330"/>
      <c r="C32" s="227"/>
      <c r="D32" s="227"/>
      <c r="E32" s="227"/>
      <c r="F32" s="388"/>
      <c r="G32" s="388"/>
      <c r="H32" s="228"/>
      <c r="I32"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2" s="34" t="str">
        <f>IFERROR(IF(Table1[[#This Row],[Per (Year /Hr)]]="year","",$J$6*Table1[[#This Row],[Cohort wage (includes BH for hrly staff)]]),"")</f>
        <v/>
      </c>
      <c r="K32" s="185">
        <f>IFERROR(IF(Table1[[#This Row],[Per (Year /Hr)]]="year",Table1[[#This Row],[Cohort wage (includes BH for hrly staff)]],Table1[[#This Row],[Cohort wage (includes BH for hrly staff)]]+Table1[[#This Row],[Hrly staff AL accrual]]),0)</f>
        <v>0</v>
      </c>
      <c r="L32" s="144" t="e">
        <f>((Table1[[#This Row],[Combined hrs per week]]/Table1[[#This Row],['# FTE staff in role]])*($J$3/7))</f>
        <v>#DIV/0!</v>
      </c>
      <c r="M32" s="145" t="e">
        <f>Table1[[#This Row],[Total Wage]]/Table1[[#This Row],['# FTE staff in role]]</f>
        <v>#DIV/0!</v>
      </c>
      <c r="N32" s="145" t="e">
        <f>IF(ISBLANK(Table1[[#This Row],['# FTE staff in role]]),Table1[[#This Row],[Total Wage]]/(Table1[[#This Row],[Combined hrs per week]]*($J$3/7)),(Table1[[#This Row],[an. Wage Per FTE]]/Table1[[#This Row],[an. hrs per fte]]/24))</f>
        <v>#DIV/0!</v>
      </c>
      <c r="O32" s="327" t="str">
        <f>IF(ISBLANK(Table1[[#This Row],[Role]]),"",Table1[[#This Row],[Role]])</f>
        <v/>
      </c>
      <c r="P32" s="309" t="str">
        <f>IF(ISBLANK(Table1[[#This Row],[Role type]]),"",Table1[[#This Row],[Role type]])</f>
        <v/>
      </c>
      <c r="Q32" s="331" t="str">
        <f>IF(ISBLANK(Table1[[#This Row],[Rate]]),"",Table1[[#This Row],[Rate]])</f>
        <v/>
      </c>
      <c r="R32" s="331" t="str">
        <f>IF(ISBLANK(Table1[[#This Row],[Hrly Staff only Bank Hol hrly rate 1]]),"",Table1[[#This Row],[Hrly Staff only Bank Hol hrly rate 1]])</f>
        <v/>
      </c>
      <c r="S32" s="331">
        <f>IF(ISBLANK(Table1[[#This Row],[Hrly Staff only Bank Hol hrly rate 2]]),0,Table1[[#This Row],[Hrly Staff only Bank Hol hrly rate 2]])</f>
        <v>0</v>
      </c>
      <c r="T32" s="331" t="str">
        <f>IF(ISBLANK(Table1[[#This Row],[Per (Year /Hr)]]),"",Table1[[#This Row],[Per (Year /Hr)]])</f>
        <v/>
      </c>
      <c r="U32" s="455" t="str">
        <f>IF(ISBLANK(Table1[[#This Row],['# FTE staff in role]]),"",Table1[[#This Row],['# FTE staff in role]])</f>
        <v/>
      </c>
      <c r="V32" s="317" t="str">
        <f>IF(ISBLANK(Table1[[#This Row],[Combined hrs per week]]),"",Table1[[#This Row],[Combined hrs per week]])</f>
        <v/>
      </c>
      <c r="W32"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2" s="34" t="str">
        <f>IFERROR(IF(Table14[[#This Row],[Per]]="year","",$X$6*Table14[[#This Row],[Cohort Wage (includes BH for hrly rate staff)]]),"")</f>
        <v/>
      </c>
      <c r="Y32" s="35">
        <f>IFERROR(IF(Table14[[#This Row],[Per]]="year",Table14[[#This Row],[Cohort Wage (includes BH for hrly rate staff)]],Table14[[#This Row],[Cohort Wage (includes BH for hrly rate staff)]]+Table14[[#This Row],[Hrly staff AL accrual]]),0)</f>
        <v>0</v>
      </c>
      <c r="Z32" s="70" t="e">
        <f>((Table14[Revised Combined hrs per week]/Table14[Revised '# Staff in role])*($X$3/7))</f>
        <v>#VALUE!</v>
      </c>
      <c r="AA32" s="70" t="e">
        <f>Table14[[#This Row],[Total Wage]]/Table14[Revised '# Staff in role]</f>
        <v>#VALUE!</v>
      </c>
      <c r="AB32" s="70" t="e">
        <f>(Table14[[#This Row],[an wg per fte]]/Table14[[#This Row],[an hrs per fte]]/24)</f>
        <v>#VALUE!</v>
      </c>
    </row>
    <row r="33" spans="1:28" x14ac:dyDescent="0.35">
      <c r="A33" s="329"/>
      <c r="B33" s="330"/>
      <c r="C33" s="227"/>
      <c r="D33" s="227"/>
      <c r="E33" s="227"/>
      <c r="F33" s="388"/>
      <c r="G33" s="388"/>
      <c r="H33" s="228"/>
      <c r="I33"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3" s="34" t="str">
        <f>IFERROR(IF(Table1[[#This Row],[Per (Year /Hr)]]="year","",$J$6*Table1[[#This Row],[Cohort wage (includes BH for hrly staff)]]),"")</f>
        <v/>
      </c>
      <c r="K33" s="185">
        <f>IFERROR(IF(Table1[[#This Row],[Per (Year /Hr)]]="year",Table1[[#This Row],[Cohort wage (includes BH for hrly staff)]],Table1[[#This Row],[Cohort wage (includes BH for hrly staff)]]+Table1[[#This Row],[Hrly staff AL accrual]]),0)</f>
        <v>0</v>
      </c>
      <c r="L33" s="144" t="e">
        <f>((Table1[[#This Row],[Combined hrs per week]]/Table1[[#This Row],['# FTE staff in role]])*($J$3/7))</f>
        <v>#DIV/0!</v>
      </c>
      <c r="M33" s="145" t="e">
        <f>Table1[[#This Row],[Total Wage]]/Table1[[#This Row],['# FTE staff in role]]</f>
        <v>#DIV/0!</v>
      </c>
      <c r="N33" s="145" t="e">
        <f>IF(ISBLANK(Table1[[#This Row],['# FTE staff in role]]),Table1[[#This Row],[Total Wage]]/(Table1[[#This Row],[Combined hrs per week]]*($J$3/7)),(Table1[[#This Row],[an. Wage Per FTE]]/Table1[[#This Row],[an. hrs per fte]]/24))</f>
        <v>#DIV/0!</v>
      </c>
      <c r="O33" s="327" t="str">
        <f>IF(ISBLANK(Table1[[#This Row],[Role]]),"",Table1[[#This Row],[Role]])</f>
        <v/>
      </c>
      <c r="P33" s="309" t="str">
        <f>IF(ISBLANK(Table1[[#This Row],[Role type]]),"",Table1[[#This Row],[Role type]])</f>
        <v/>
      </c>
      <c r="Q33" s="331" t="str">
        <f>IF(ISBLANK(Table1[[#This Row],[Rate]]),"",Table1[[#This Row],[Rate]])</f>
        <v/>
      </c>
      <c r="R33" s="331" t="str">
        <f>IF(ISBLANK(Table1[[#This Row],[Hrly Staff only Bank Hol hrly rate 1]]),"",Table1[[#This Row],[Hrly Staff only Bank Hol hrly rate 1]])</f>
        <v/>
      </c>
      <c r="S33" s="331">
        <f>IF(ISBLANK(Table1[[#This Row],[Hrly Staff only Bank Hol hrly rate 2]]),0,Table1[[#This Row],[Hrly Staff only Bank Hol hrly rate 2]])</f>
        <v>0</v>
      </c>
      <c r="T33" s="331" t="str">
        <f>IF(ISBLANK(Table1[[#This Row],[Per (Year /Hr)]]),"",Table1[[#This Row],[Per (Year /Hr)]])</f>
        <v/>
      </c>
      <c r="U33" s="455" t="str">
        <f>IF(ISBLANK(Table1[[#This Row],['# FTE staff in role]]),"",Table1[[#This Row],['# FTE staff in role]])</f>
        <v/>
      </c>
      <c r="V33" s="317" t="str">
        <f>IF(ISBLANK(Table1[[#This Row],[Combined hrs per week]]),"",Table1[[#This Row],[Combined hrs per week]])</f>
        <v/>
      </c>
      <c r="W33"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3" s="34" t="str">
        <f>IFERROR(IF(Table14[[#This Row],[Per]]="year","",$X$6*Table14[[#This Row],[Cohort Wage (includes BH for hrly rate staff)]]),"")</f>
        <v/>
      </c>
      <c r="Y33" s="35">
        <f>IFERROR(IF(Table14[[#This Row],[Per]]="year",Table14[[#This Row],[Cohort Wage (includes BH for hrly rate staff)]],Table14[[#This Row],[Cohort Wage (includes BH for hrly rate staff)]]+Table14[[#This Row],[Hrly staff AL accrual]]),0)</f>
        <v>0</v>
      </c>
      <c r="Z33" s="70" t="e">
        <f>((Table14[Revised Combined hrs per week]/Table14[Revised '# Staff in role])*($X$3/7))</f>
        <v>#VALUE!</v>
      </c>
      <c r="AA33" s="70" t="e">
        <f>Table14[[#This Row],[Total Wage]]/Table14[Revised '# Staff in role]</f>
        <v>#VALUE!</v>
      </c>
      <c r="AB33" s="70" t="e">
        <f>(Table14[[#This Row],[an wg per fte]]/Table14[[#This Row],[an hrs per fte]]/24)</f>
        <v>#VALUE!</v>
      </c>
    </row>
    <row r="34" spans="1:28" x14ac:dyDescent="0.35">
      <c r="A34" s="329"/>
      <c r="B34" s="330"/>
      <c r="C34" s="227"/>
      <c r="D34" s="227"/>
      <c r="E34" s="227"/>
      <c r="F34" s="388"/>
      <c r="G34" s="388"/>
      <c r="H34" s="228"/>
      <c r="I34"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4" s="34" t="str">
        <f>IFERROR(IF(Table1[[#This Row],[Per (Year /Hr)]]="year","",$J$6*Table1[[#This Row],[Cohort wage (includes BH for hrly staff)]]),"")</f>
        <v/>
      </c>
      <c r="K34" s="185">
        <f>IFERROR(IF(Table1[[#This Row],[Per (Year /Hr)]]="year",Table1[[#This Row],[Cohort wage (includes BH for hrly staff)]],Table1[[#This Row],[Cohort wage (includes BH for hrly staff)]]+Table1[[#This Row],[Hrly staff AL accrual]]),0)</f>
        <v>0</v>
      </c>
      <c r="L34" s="144" t="e">
        <f>((Table1[[#This Row],[Combined hrs per week]]/Table1[[#This Row],['# FTE staff in role]])*($J$3/7))</f>
        <v>#DIV/0!</v>
      </c>
      <c r="M34" s="145" t="e">
        <f>Table1[[#This Row],[Total Wage]]/Table1[[#This Row],['# FTE staff in role]]</f>
        <v>#DIV/0!</v>
      </c>
      <c r="N34" s="145" t="e">
        <f>IF(ISBLANK(Table1[[#This Row],['# FTE staff in role]]),Table1[[#This Row],[Total Wage]]/(Table1[[#This Row],[Combined hrs per week]]*($J$3/7)),(Table1[[#This Row],[an. Wage Per FTE]]/Table1[[#This Row],[an. hrs per fte]]/24))</f>
        <v>#DIV/0!</v>
      </c>
      <c r="O34" s="327" t="str">
        <f>IF(ISBLANK(Table1[[#This Row],[Role]]),"",Table1[[#This Row],[Role]])</f>
        <v/>
      </c>
      <c r="P34" s="309" t="str">
        <f>IF(ISBLANK(Table1[[#This Row],[Role type]]),"",Table1[[#This Row],[Role type]])</f>
        <v/>
      </c>
      <c r="Q34" s="331" t="str">
        <f>IF(ISBLANK(Table1[[#This Row],[Rate]]),"",Table1[[#This Row],[Rate]])</f>
        <v/>
      </c>
      <c r="R34" s="331" t="str">
        <f>IF(ISBLANK(Table1[[#This Row],[Hrly Staff only Bank Hol hrly rate 1]]),"",Table1[[#This Row],[Hrly Staff only Bank Hol hrly rate 1]])</f>
        <v/>
      </c>
      <c r="S34" s="331">
        <f>IF(ISBLANK(Table1[[#This Row],[Hrly Staff only Bank Hol hrly rate 2]]),0,Table1[[#This Row],[Hrly Staff only Bank Hol hrly rate 2]])</f>
        <v>0</v>
      </c>
      <c r="T34" s="331" t="str">
        <f>IF(ISBLANK(Table1[[#This Row],[Per (Year /Hr)]]),"",Table1[[#This Row],[Per (Year /Hr)]])</f>
        <v/>
      </c>
      <c r="U34" s="455" t="str">
        <f>IF(ISBLANK(Table1[[#This Row],['# FTE staff in role]]),"",Table1[[#This Row],['# FTE staff in role]])</f>
        <v/>
      </c>
      <c r="V34" s="317" t="str">
        <f>IF(ISBLANK(Table1[[#This Row],[Combined hrs per week]]),"",Table1[[#This Row],[Combined hrs per week]])</f>
        <v/>
      </c>
      <c r="W34"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4" s="34" t="str">
        <f>IFERROR(IF(Table14[[#This Row],[Per]]="year","",$X$6*Table14[[#This Row],[Cohort Wage (includes BH for hrly rate staff)]]),"")</f>
        <v/>
      </c>
      <c r="Y34" s="35">
        <f>IFERROR(IF(Table14[[#This Row],[Per]]="year",Table14[[#This Row],[Cohort Wage (includes BH for hrly rate staff)]],Table14[[#This Row],[Cohort Wage (includes BH for hrly rate staff)]]+Table14[[#This Row],[Hrly staff AL accrual]]),0)</f>
        <v>0</v>
      </c>
      <c r="Z34" s="70" t="e">
        <f>((Table14[Revised Combined hrs per week]/Table14[Revised '# Staff in role])*($X$3/7))</f>
        <v>#VALUE!</v>
      </c>
      <c r="AA34" s="70" t="e">
        <f>Table14[[#This Row],[Total Wage]]/Table14[Revised '# Staff in role]</f>
        <v>#VALUE!</v>
      </c>
      <c r="AB34" s="70" t="e">
        <f>(Table14[[#This Row],[an wg per fte]]/Table14[[#This Row],[an hrs per fte]]/24)</f>
        <v>#VALUE!</v>
      </c>
    </row>
    <row r="35" spans="1:28" x14ac:dyDescent="0.35">
      <c r="A35" s="329"/>
      <c r="B35" s="330"/>
      <c r="C35" s="227"/>
      <c r="D35" s="227"/>
      <c r="E35" s="227"/>
      <c r="F35" s="388"/>
      <c r="G35" s="388"/>
      <c r="H35" s="228"/>
      <c r="I35"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5" s="34" t="str">
        <f>IFERROR(IF(Table1[[#This Row],[Per (Year /Hr)]]="year","",$J$6*Table1[[#This Row],[Cohort wage (includes BH for hrly staff)]]),"")</f>
        <v/>
      </c>
      <c r="K35" s="185">
        <f>IFERROR(IF(Table1[[#This Row],[Per (Year /Hr)]]="year",Table1[[#This Row],[Cohort wage (includes BH for hrly staff)]],Table1[[#This Row],[Cohort wage (includes BH for hrly staff)]]+Table1[[#This Row],[Hrly staff AL accrual]]),0)</f>
        <v>0</v>
      </c>
      <c r="L35" s="144" t="e">
        <f>((Table1[[#This Row],[Combined hrs per week]]/Table1[[#This Row],['# FTE staff in role]])*($J$3/7))</f>
        <v>#DIV/0!</v>
      </c>
      <c r="M35" s="145" t="e">
        <f>Table1[[#This Row],[Total Wage]]/Table1[[#This Row],['# FTE staff in role]]</f>
        <v>#DIV/0!</v>
      </c>
      <c r="N35" s="145" t="e">
        <f>IF(ISBLANK(Table1[[#This Row],['# FTE staff in role]]),Table1[[#This Row],[Total Wage]]/(Table1[[#This Row],[Combined hrs per week]]*($J$3/7)),(Table1[[#This Row],[an. Wage Per FTE]]/Table1[[#This Row],[an. hrs per fte]]/24))</f>
        <v>#DIV/0!</v>
      </c>
      <c r="O35" s="327" t="str">
        <f>IF(ISBLANK(Table1[[#This Row],[Role]]),"",Table1[[#This Row],[Role]])</f>
        <v/>
      </c>
      <c r="P35" s="309" t="str">
        <f>IF(ISBLANK(Table1[[#This Row],[Role type]]),"",Table1[[#This Row],[Role type]])</f>
        <v/>
      </c>
      <c r="Q35" s="331" t="str">
        <f>IF(ISBLANK(Table1[[#This Row],[Rate]]),"",Table1[[#This Row],[Rate]])</f>
        <v/>
      </c>
      <c r="R35" s="331" t="str">
        <f>IF(ISBLANK(Table1[[#This Row],[Hrly Staff only Bank Hol hrly rate 1]]),"",Table1[[#This Row],[Hrly Staff only Bank Hol hrly rate 1]])</f>
        <v/>
      </c>
      <c r="S35" s="331">
        <f>IF(ISBLANK(Table1[[#This Row],[Hrly Staff only Bank Hol hrly rate 2]]),0,Table1[[#This Row],[Hrly Staff only Bank Hol hrly rate 2]])</f>
        <v>0</v>
      </c>
      <c r="T35" s="331" t="str">
        <f>IF(ISBLANK(Table1[[#This Row],[Per (Year /Hr)]]),"",Table1[[#This Row],[Per (Year /Hr)]])</f>
        <v/>
      </c>
      <c r="U35" s="455" t="str">
        <f>IF(ISBLANK(Table1[[#This Row],['# FTE staff in role]]),"",Table1[[#This Row],['# FTE staff in role]])</f>
        <v/>
      </c>
      <c r="V35" s="317" t="str">
        <f>IF(ISBLANK(Table1[[#This Row],[Combined hrs per week]]),"",Table1[[#This Row],[Combined hrs per week]])</f>
        <v/>
      </c>
      <c r="W35"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5" s="34" t="str">
        <f>IFERROR(IF(Table14[[#This Row],[Per]]="year","",$X$6*Table14[[#This Row],[Cohort Wage (includes BH for hrly rate staff)]]),"")</f>
        <v/>
      </c>
      <c r="Y35" s="35">
        <f>IFERROR(IF(Table14[[#This Row],[Per]]="year",Table14[[#This Row],[Cohort Wage (includes BH for hrly rate staff)]],Table14[[#This Row],[Cohort Wage (includes BH for hrly rate staff)]]+Table14[[#This Row],[Hrly staff AL accrual]]),0)</f>
        <v>0</v>
      </c>
      <c r="Z35" s="70" t="e">
        <f>((Table14[Revised Combined hrs per week]/Table14[Revised '# Staff in role])*($X$3/7))</f>
        <v>#VALUE!</v>
      </c>
      <c r="AA35" s="70" t="e">
        <f>Table14[[#This Row],[Total Wage]]/Table14[Revised '# Staff in role]</f>
        <v>#VALUE!</v>
      </c>
      <c r="AB35" s="70" t="e">
        <f>(Table14[[#This Row],[an wg per fte]]/Table14[[#This Row],[an hrs per fte]]/24)</f>
        <v>#VALUE!</v>
      </c>
    </row>
    <row r="36" spans="1:28" x14ac:dyDescent="0.35">
      <c r="A36" s="329"/>
      <c r="B36" s="330"/>
      <c r="C36" s="227"/>
      <c r="D36" s="227"/>
      <c r="E36" s="227"/>
      <c r="F36" s="388"/>
      <c r="G36" s="388"/>
      <c r="H36" s="228"/>
      <c r="I36"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6" s="34" t="str">
        <f>IFERROR(IF(Table1[[#This Row],[Per (Year /Hr)]]="year","",$J$6*Table1[[#This Row],[Cohort wage (includes BH for hrly staff)]]),"")</f>
        <v/>
      </c>
      <c r="K36" s="185">
        <f>IFERROR(IF(Table1[[#This Row],[Per (Year /Hr)]]="year",Table1[[#This Row],[Cohort wage (includes BH for hrly staff)]],Table1[[#This Row],[Cohort wage (includes BH for hrly staff)]]+Table1[[#This Row],[Hrly staff AL accrual]]),0)</f>
        <v>0</v>
      </c>
      <c r="L36" s="144" t="e">
        <f>((Table1[[#This Row],[Combined hrs per week]]/Table1[[#This Row],['# FTE staff in role]])*($J$3/7))</f>
        <v>#DIV/0!</v>
      </c>
      <c r="M36" s="145" t="e">
        <f>Table1[[#This Row],[Total Wage]]/Table1[[#This Row],['# FTE staff in role]]</f>
        <v>#DIV/0!</v>
      </c>
      <c r="N36" s="145" t="e">
        <f>IF(ISBLANK(Table1[[#This Row],['# FTE staff in role]]),Table1[[#This Row],[Total Wage]]/(Table1[[#This Row],[Combined hrs per week]]*($J$3/7)),(Table1[[#This Row],[an. Wage Per FTE]]/Table1[[#This Row],[an. hrs per fte]]/24))</f>
        <v>#DIV/0!</v>
      </c>
      <c r="O36" s="327" t="str">
        <f>IF(ISBLANK(Table1[[#This Row],[Role]]),"",Table1[[#This Row],[Role]])</f>
        <v/>
      </c>
      <c r="P36" s="309" t="str">
        <f>IF(ISBLANK(Table1[[#This Row],[Role type]]),"",Table1[[#This Row],[Role type]])</f>
        <v/>
      </c>
      <c r="Q36" s="331" t="str">
        <f>IF(ISBLANK(Table1[[#This Row],[Rate]]),"",Table1[[#This Row],[Rate]])</f>
        <v/>
      </c>
      <c r="R36" s="331" t="str">
        <f>IF(ISBLANK(Table1[[#This Row],[Hrly Staff only Bank Hol hrly rate 1]]),"",Table1[[#This Row],[Hrly Staff only Bank Hol hrly rate 1]])</f>
        <v/>
      </c>
      <c r="S36" s="331">
        <f>IF(ISBLANK(Table1[[#This Row],[Hrly Staff only Bank Hol hrly rate 2]]),0,Table1[[#This Row],[Hrly Staff only Bank Hol hrly rate 2]])</f>
        <v>0</v>
      </c>
      <c r="T36" s="331" t="str">
        <f>IF(ISBLANK(Table1[[#This Row],[Per (Year /Hr)]]),"",Table1[[#This Row],[Per (Year /Hr)]])</f>
        <v/>
      </c>
      <c r="U36" s="455" t="str">
        <f>IF(ISBLANK(Table1[[#This Row],['# FTE staff in role]]),"",Table1[[#This Row],['# FTE staff in role]])</f>
        <v/>
      </c>
      <c r="V36" s="317" t="str">
        <f>IF(ISBLANK(Table1[[#This Row],[Combined hrs per week]]),"",Table1[[#This Row],[Combined hrs per week]])</f>
        <v/>
      </c>
      <c r="W36"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6" s="34" t="str">
        <f>IFERROR(IF(Table14[[#This Row],[Per]]="year","",$X$6*Table14[[#This Row],[Cohort Wage (includes BH for hrly rate staff)]]),"")</f>
        <v/>
      </c>
      <c r="Y36" s="35">
        <f>IFERROR(IF(Table14[[#This Row],[Per]]="year",Table14[[#This Row],[Cohort Wage (includes BH for hrly rate staff)]],Table14[[#This Row],[Cohort Wage (includes BH for hrly rate staff)]]+Table14[[#This Row],[Hrly staff AL accrual]]),0)</f>
        <v>0</v>
      </c>
      <c r="Z36" s="70" t="e">
        <f>((Table14[Revised Combined hrs per week]/Table14[Revised '# Staff in role])*($X$3/7))</f>
        <v>#VALUE!</v>
      </c>
      <c r="AA36" s="70" t="e">
        <f>Table14[[#This Row],[Total Wage]]/Table14[Revised '# Staff in role]</f>
        <v>#VALUE!</v>
      </c>
      <c r="AB36" s="70" t="e">
        <f>(Table14[[#This Row],[an wg per fte]]/Table14[[#This Row],[an hrs per fte]]/24)</f>
        <v>#VALUE!</v>
      </c>
    </row>
    <row r="37" spans="1:28" x14ac:dyDescent="0.35">
      <c r="A37" s="329"/>
      <c r="B37" s="330"/>
      <c r="C37" s="227"/>
      <c r="D37" s="227"/>
      <c r="E37" s="227"/>
      <c r="F37" s="310"/>
      <c r="G37" s="388"/>
      <c r="H37" s="228"/>
      <c r="I37"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7" s="34" t="str">
        <f>IFERROR(IF(Table1[[#This Row],[Per (Year /Hr)]]="year","",$J$6*Table1[[#This Row],[Cohort wage (includes BH for hrly staff)]]),"")</f>
        <v/>
      </c>
      <c r="K37" s="185">
        <f>IFERROR(IF(Table1[[#This Row],[Per (Year /Hr)]]="year",Table1[[#This Row],[Cohort wage (includes BH for hrly staff)]],Table1[[#This Row],[Cohort wage (includes BH for hrly staff)]]+Table1[[#This Row],[Hrly staff AL accrual]]),0)</f>
        <v>0</v>
      </c>
      <c r="L37" s="144" t="e">
        <f>((Table1[[#This Row],[Combined hrs per week]]/Table1[[#This Row],['# FTE staff in role]])*($J$3/7))</f>
        <v>#DIV/0!</v>
      </c>
      <c r="M37" s="145" t="e">
        <f>Table1[[#This Row],[Total Wage]]/Table1[[#This Row],['# FTE staff in role]]</f>
        <v>#DIV/0!</v>
      </c>
      <c r="N37" s="145" t="e">
        <f>IF(ISBLANK(Table1[[#This Row],['# FTE staff in role]]),Table1[[#This Row],[Total Wage]]/(Table1[[#This Row],[Combined hrs per week]]*($J$3/7)),(Table1[[#This Row],[an. Wage Per FTE]]/Table1[[#This Row],[an. hrs per fte]]/24))</f>
        <v>#DIV/0!</v>
      </c>
      <c r="O37" s="327" t="str">
        <f>IF(ISBLANK(Table1[[#This Row],[Role]]),"",Table1[[#This Row],[Role]])</f>
        <v/>
      </c>
      <c r="P37" s="309" t="str">
        <f>IF(ISBLANK(Table1[[#This Row],[Role type]]),"",Table1[[#This Row],[Role type]])</f>
        <v/>
      </c>
      <c r="Q37" s="331" t="str">
        <f>IF(ISBLANK(Table1[[#This Row],[Rate]]),"",Table1[[#This Row],[Rate]])</f>
        <v/>
      </c>
      <c r="R37" s="331" t="str">
        <f>IF(ISBLANK(Table1[[#This Row],[Hrly Staff only Bank Hol hrly rate 1]]),"",Table1[[#This Row],[Hrly Staff only Bank Hol hrly rate 1]])</f>
        <v/>
      </c>
      <c r="S37" s="331">
        <f>IF(ISBLANK(Table1[[#This Row],[Hrly Staff only Bank Hol hrly rate 2]]),0,Table1[[#This Row],[Hrly Staff only Bank Hol hrly rate 2]])</f>
        <v>0</v>
      </c>
      <c r="T37" s="331" t="str">
        <f>IF(ISBLANK(Table1[[#This Row],[Per (Year /Hr)]]),"",Table1[[#This Row],[Per (Year /Hr)]])</f>
        <v/>
      </c>
      <c r="U37" s="455" t="str">
        <f>IF(ISBLANK(Table1[[#This Row],['# FTE staff in role]]),"",Table1[[#This Row],['# FTE staff in role]])</f>
        <v/>
      </c>
      <c r="V37" s="317" t="str">
        <f>IF(ISBLANK(Table1[[#This Row],[Combined hrs per week]]),"",Table1[[#This Row],[Combined hrs per week]])</f>
        <v/>
      </c>
      <c r="W37"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7" s="34" t="str">
        <f>IFERROR(IF(Table14[[#This Row],[Per]]="year","",$X$6*Table14[[#This Row],[Cohort Wage (includes BH for hrly rate staff)]]),"")</f>
        <v/>
      </c>
      <c r="Y37" s="35">
        <f>IFERROR(IF(Table14[[#This Row],[Per]]="year",Table14[[#This Row],[Cohort Wage (includes BH for hrly rate staff)]],Table14[[#This Row],[Cohort Wage (includes BH for hrly rate staff)]]+Table14[[#This Row],[Hrly staff AL accrual]]),0)</f>
        <v>0</v>
      </c>
      <c r="Z37" s="70" t="e">
        <f>((Table14[Revised Combined hrs per week]/Table14[Revised '# Staff in role])*($X$3/7))</f>
        <v>#VALUE!</v>
      </c>
      <c r="AA37" s="70" t="e">
        <f>Table14[[#This Row],[Total Wage]]/Table14[Revised '# Staff in role]</f>
        <v>#VALUE!</v>
      </c>
      <c r="AB37" s="70" t="e">
        <f>(Table14[[#This Row],[an wg per fte]]/Table14[[#This Row],[an hrs per fte]]/24)</f>
        <v>#VALUE!</v>
      </c>
    </row>
    <row r="38" spans="1:28" x14ac:dyDescent="0.35">
      <c r="A38" s="329"/>
      <c r="B38" s="330"/>
      <c r="C38" s="227"/>
      <c r="D38" s="227"/>
      <c r="E38" s="227"/>
      <c r="F38" s="310"/>
      <c r="G38" s="388"/>
      <c r="H38" s="228"/>
      <c r="I38"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8" s="34" t="str">
        <f>IFERROR(IF(Table1[[#This Row],[Per (Year /Hr)]]="year","",$J$6*Table1[[#This Row],[Cohort wage (includes BH for hrly staff)]]),"")</f>
        <v/>
      </c>
      <c r="K38" s="185">
        <f>IFERROR(IF(Table1[[#This Row],[Per (Year /Hr)]]="year",Table1[[#This Row],[Cohort wage (includes BH for hrly staff)]],Table1[[#This Row],[Cohort wage (includes BH for hrly staff)]]+Table1[[#This Row],[Hrly staff AL accrual]]),0)</f>
        <v>0</v>
      </c>
      <c r="L38" s="144" t="e">
        <f>((Table1[[#This Row],[Combined hrs per week]]/Table1[[#This Row],['# FTE staff in role]])*($J$3/7))</f>
        <v>#DIV/0!</v>
      </c>
      <c r="M38" s="145" t="e">
        <f>Table1[[#This Row],[Total Wage]]/Table1[[#This Row],['# FTE staff in role]]</f>
        <v>#DIV/0!</v>
      </c>
      <c r="N38" s="145" t="e">
        <f>IF(ISBLANK(Table1[[#This Row],['# FTE staff in role]]),Table1[[#This Row],[Total Wage]]/(Table1[[#This Row],[Combined hrs per week]]*($J$3/7)),(Table1[[#This Row],[an. Wage Per FTE]]/Table1[[#This Row],[an. hrs per fte]]/24))</f>
        <v>#DIV/0!</v>
      </c>
      <c r="O38" s="327" t="str">
        <f>IF(ISBLANK(Table1[[#This Row],[Role]]),"",Table1[[#This Row],[Role]])</f>
        <v/>
      </c>
      <c r="P38" s="309" t="str">
        <f>IF(ISBLANK(Table1[[#This Row],[Role type]]),"",Table1[[#This Row],[Role type]])</f>
        <v/>
      </c>
      <c r="Q38" s="331" t="str">
        <f>IF(ISBLANK(Table1[[#This Row],[Rate]]),"",Table1[[#This Row],[Rate]])</f>
        <v/>
      </c>
      <c r="R38" s="331" t="str">
        <f>IF(ISBLANK(Table1[[#This Row],[Hrly Staff only Bank Hol hrly rate 1]]),"",Table1[[#This Row],[Hrly Staff only Bank Hol hrly rate 1]])</f>
        <v/>
      </c>
      <c r="S38" s="331">
        <f>IF(ISBLANK(Table1[[#This Row],[Hrly Staff only Bank Hol hrly rate 2]]),0,Table1[[#This Row],[Hrly Staff only Bank Hol hrly rate 2]])</f>
        <v>0</v>
      </c>
      <c r="T38" s="331" t="str">
        <f>IF(ISBLANK(Table1[[#This Row],[Per (Year /Hr)]]),"",Table1[[#This Row],[Per (Year /Hr)]])</f>
        <v/>
      </c>
      <c r="U38" s="455" t="str">
        <f>IF(ISBLANK(Table1[[#This Row],['# FTE staff in role]]),"",Table1[[#This Row],['# FTE staff in role]])</f>
        <v/>
      </c>
      <c r="V38" s="317" t="str">
        <f>IF(ISBLANK(Table1[[#This Row],[Combined hrs per week]]),"",Table1[[#This Row],[Combined hrs per week]])</f>
        <v/>
      </c>
      <c r="W38"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8" s="34" t="str">
        <f>IFERROR(IF(Table14[[#This Row],[Per]]="year","",$X$6*Table14[[#This Row],[Cohort Wage (includes BH for hrly rate staff)]]),"")</f>
        <v/>
      </c>
      <c r="Y38" s="35">
        <f>IFERROR(IF(Table14[[#This Row],[Per]]="year",Table14[[#This Row],[Cohort Wage (includes BH for hrly rate staff)]],Table14[[#This Row],[Cohort Wage (includes BH for hrly rate staff)]]+Table14[[#This Row],[Hrly staff AL accrual]]),0)</f>
        <v>0</v>
      </c>
      <c r="Z38" s="70" t="e">
        <f>((Table14[Revised Combined hrs per week]/Table14[Revised '# Staff in role])*($X$3/7))</f>
        <v>#VALUE!</v>
      </c>
      <c r="AA38" s="70" t="e">
        <f>Table14[[#This Row],[Total Wage]]/Table14[Revised '# Staff in role]</f>
        <v>#VALUE!</v>
      </c>
      <c r="AB38" s="70" t="e">
        <f>(Table14[[#This Row],[an wg per fte]]/Table14[[#This Row],[an hrs per fte]]/24)</f>
        <v>#VALUE!</v>
      </c>
    </row>
    <row r="39" spans="1:28" x14ac:dyDescent="0.35">
      <c r="A39" s="329"/>
      <c r="B39" s="330"/>
      <c r="C39" s="227"/>
      <c r="D39" s="227"/>
      <c r="E39" s="227"/>
      <c r="F39" s="310"/>
      <c r="G39" s="388"/>
      <c r="H39" s="228"/>
      <c r="I39"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39" s="34" t="str">
        <f>IFERROR(IF(Table1[[#This Row],[Per (Year /Hr)]]="year","",$J$6*Table1[[#This Row],[Cohort wage (includes BH for hrly staff)]]),"")</f>
        <v/>
      </c>
      <c r="K39" s="185">
        <f>IFERROR(IF(Table1[[#This Row],[Per (Year /Hr)]]="year",Table1[[#This Row],[Cohort wage (includes BH for hrly staff)]],Table1[[#This Row],[Cohort wage (includes BH for hrly staff)]]+Table1[[#This Row],[Hrly staff AL accrual]]),0)</f>
        <v>0</v>
      </c>
      <c r="L39" s="144" t="e">
        <f>((Table1[[#This Row],[Combined hrs per week]]/Table1[[#This Row],['# FTE staff in role]])*($J$3/7))</f>
        <v>#DIV/0!</v>
      </c>
      <c r="M39" s="145" t="e">
        <f>Table1[[#This Row],[Total Wage]]/Table1[[#This Row],['# FTE staff in role]]</f>
        <v>#DIV/0!</v>
      </c>
      <c r="N39" s="145" t="e">
        <f>IF(ISBLANK(Table1[[#This Row],['# FTE staff in role]]),Table1[[#This Row],[Total Wage]]/(Table1[[#This Row],[Combined hrs per week]]*($J$3/7)),(Table1[[#This Row],[an. Wage Per FTE]]/Table1[[#This Row],[an. hrs per fte]]/24))</f>
        <v>#DIV/0!</v>
      </c>
      <c r="O39" s="327" t="str">
        <f>IF(ISBLANK(Table1[[#This Row],[Role]]),"",Table1[[#This Row],[Role]])</f>
        <v/>
      </c>
      <c r="P39" s="309" t="str">
        <f>IF(ISBLANK(Table1[[#This Row],[Role type]]),"",Table1[[#This Row],[Role type]])</f>
        <v/>
      </c>
      <c r="Q39" s="331" t="str">
        <f>IF(ISBLANK(Table1[[#This Row],[Rate]]),"",Table1[[#This Row],[Rate]])</f>
        <v/>
      </c>
      <c r="R39" s="331" t="str">
        <f>IF(ISBLANK(Table1[[#This Row],[Hrly Staff only Bank Hol hrly rate 1]]),"",Table1[[#This Row],[Hrly Staff only Bank Hol hrly rate 1]])</f>
        <v/>
      </c>
      <c r="S39" s="331">
        <f>IF(ISBLANK(Table1[[#This Row],[Hrly Staff only Bank Hol hrly rate 2]]),0,Table1[[#This Row],[Hrly Staff only Bank Hol hrly rate 2]])</f>
        <v>0</v>
      </c>
      <c r="T39" s="331" t="str">
        <f>IF(ISBLANK(Table1[[#This Row],[Per (Year /Hr)]]),"",Table1[[#This Row],[Per (Year /Hr)]])</f>
        <v/>
      </c>
      <c r="U39" s="455" t="str">
        <f>IF(ISBLANK(Table1[[#This Row],['# FTE staff in role]]),"",Table1[[#This Row],['# FTE staff in role]])</f>
        <v/>
      </c>
      <c r="V39" s="317" t="str">
        <f>IF(ISBLANK(Table1[[#This Row],[Combined hrs per week]]),"",Table1[[#This Row],[Combined hrs per week]])</f>
        <v/>
      </c>
      <c r="W39"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39" s="34" t="str">
        <f>IFERROR(IF(Table14[[#This Row],[Per]]="year","",$X$6*Table14[[#This Row],[Cohort Wage (includes BH for hrly rate staff)]]),"")</f>
        <v/>
      </c>
      <c r="Y39" s="35">
        <f>IFERROR(IF(Table14[[#This Row],[Per]]="year",Table14[[#This Row],[Cohort Wage (includes BH for hrly rate staff)]],Table14[[#This Row],[Cohort Wage (includes BH for hrly rate staff)]]+Table14[[#This Row],[Hrly staff AL accrual]]),0)</f>
        <v>0</v>
      </c>
      <c r="Z39" s="70" t="e">
        <f>((Table14[Revised Combined hrs per week]/Table14[Revised '# Staff in role])*($X$3/7))</f>
        <v>#VALUE!</v>
      </c>
      <c r="AA39" s="70" t="e">
        <f>Table14[[#This Row],[Total Wage]]/Table14[Revised '# Staff in role]</f>
        <v>#VALUE!</v>
      </c>
      <c r="AB39" s="70" t="e">
        <f>(Table14[[#This Row],[an wg per fte]]/Table14[[#This Row],[an hrs per fte]]/24)</f>
        <v>#VALUE!</v>
      </c>
    </row>
    <row r="40" spans="1:28" x14ac:dyDescent="0.35">
      <c r="A40" s="327"/>
      <c r="B40" s="330"/>
      <c r="C40" s="227"/>
      <c r="D40" s="227"/>
      <c r="E40" s="227"/>
      <c r="F40" s="310"/>
      <c r="G40" s="388"/>
      <c r="H40" s="228"/>
      <c r="I40"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0" s="34" t="str">
        <f>IFERROR(IF(Table1[[#This Row],[Per (Year /Hr)]]="year","",$J$6*Table1[[#This Row],[Cohort wage (includes BH for hrly staff)]]),"")</f>
        <v/>
      </c>
      <c r="K40" s="185">
        <f>IFERROR(IF(Table1[[#This Row],[Per (Year /Hr)]]="year",Table1[[#This Row],[Cohort wage (includes BH for hrly staff)]],Table1[[#This Row],[Cohort wage (includes BH for hrly staff)]]+Table1[[#This Row],[Hrly staff AL accrual]]),0)</f>
        <v>0</v>
      </c>
      <c r="L40" s="144" t="e">
        <f>((Table1[[#This Row],[Combined hrs per week]]/Table1[[#This Row],['# FTE staff in role]])*($J$3/7))</f>
        <v>#DIV/0!</v>
      </c>
      <c r="M40" s="145" t="e">
        <f>Table1[[#This Row],[Total Wage]]/Table1[[#This Row],['# FTE staff in role]]</f>
        <v>#DIV/0!</v>
      </c>
      <c r="N40" s="145" t="e">
        <f>IF(ISBLANK(Table1[[#This Row],['# FTE staff in role]]),Table1[[#This Row],[Total Wage]]/(Table1[[#This Row],[Combined hrs per week]]*($J$3/7)),(Table1[[#This Row],[an. Wage Per FTE]]/Table1[[#This Row],[an. hrs per fte]]/24))</f>
        <v>#DIV/0!</v>
      </c>
      <c r="O40" s="327" t="str">
        <f>IF(ISBLANK(Table1[[#This Row],[Role]]),"",Table1[[#This Row],[Role]])</f>
        <v/>
      </c>
      <c r="P40" s="309" t="str">
        <f>IF(ISBLANK(Table1[[#This Row],[Role type]]),"",Table1[[#This Row],[Role type]])</f>
        <v/>
      </c>
      <c r="Q40" s="331" t="str">
        <f>IF(ISBLANK(Table1[[#This Row],[Rate]]),"",Table1[[#This Row],[Rate]])</f>
        <v/>
      </c>
      <c r="R40" s="331" t="str">
        <f>IF(ISBLANK(Table1[[#This Row],[Hrly Staff only Bank Hol hrly rate 1]]),"",Table1[[#This Row],[Hrly Staff only Bank Hol hrly rate 1]])</f>
        <v/>
      </c>
      <c r="S40" s="331">
        <f>IF(ISBLANK(Table1[[#This Row],[Hrly Staff only Bank Hol hrly rate 2]]),0,Table1[[#This Row],[Hrly Staff only Bank Hol hrly rate 2]])</f>
        <v>0</v>
      </c>
      <c r="T40" s="331" t="str">
        <f>IF(ISBLANK(Table1[[#This Row],[Per (Year /Hr)]]),"",Table1[[#This Row],[Per (Year /Hr)]])</f>
        <v/>
      </c>
      <c r="U40" s="455" t="str">
        <f>IF(ISBLANK(Table1[[#This Row],['# FTE staff in role]]),"",Table1[[#This Row],['# FTE staff in role]])</f>
        <v/>
      </c>
      <c r="V40" s="317" t="str">
        <f>IF(ISBLANK(Table1[[#This Row],[Combined hrs per week]]),"",Table1[[#This Row],[Combined hrs per week]])</f>
        <v/>
      </c>
      <c r="W40"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0" s="34" t="str">
        <f>IFERROR(IF(Table14[[#This Row],[Per]]="year","",$X$6*Table14[[#This Row],[Cohort Wage (includes BH for hrly rate staff)]]),"")</f>
        <v/>
      </c>
      <c r="Y40" s="35">
        <f>IFERROR(IF(Table14[[#This Row],[Per]]="year",Table14[[#This Row],[Cohort Wage (includes BH for hrly rate staff)]],Table14[[#This Row],[Cohort Wage (includes BH for hrly rate staff)]]+Table14[[#This Row],[Hrly staff AL accrual]]),0)</f>
        <v>0</v>
      </c>
      <c r="Z40" s="70" t="e">
        <f>((Table14[Revised Combined hrs per week]/Table14[Revised '# Staff in role])*($X$3/7))</f>
        <v>#VALUE!</v>
      </c>
      <c r="AA40" s="70" t="e">
        <f>Table14[[#This Row],[Total Wage]]/Table14[Revised '# Staff in role]</f>
        <v>#VALUE!</v>
      </c>
      <c r="AB40" s="70" t="e">
        <f>(Table14[[#This Row],[an wg per fte]]/Table14[[#This Row],[an hrs per fte]]/24)</f>
        <v>#VALUE!</v>
      </c>
    </row>
    <row r="41" spans="1:28" x14ac:dyDescent="0.35">
      <c r="A41" s="327"/>
      <c r="B41" s="330"/>
      <c r="C41" s="227"/>
      <c r="D41" s="227"/>
      <c r="E41" s="227"/>
      <c r="F41" s="310"/>
      <c r="G41" s="388"/>
      <c r="H41" s="228"/>
      <c r="I41"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1" s="34" t="str">
        <f>IFERROR(IF(Table1[[#This Row],[Per (Year /Hr)]]="year","",$J$6*Table1[[#This Row],[Cohort wage (includes BH for hrly staff)]]),"")</f>
        <v/>
      </c>
      <c r="K41" s="185">
        <f>IFERROR(IF(Table1[[#This Row],[Per (Year /Hr)]]="year",Table1[[#This Row],[Cohort wage (includes BH for hrly staff)]],Table1[[#This Row],[Cohort wage (includes BH for hrly staff)]]+Table1[[#This Row],[Hrly staff AL accrual]]),0)</f>
        <v>0</v>
      </c>
      <c r="L41" s="144" t="e">
        <f>((Table1[[#This Row],[Combined hrs per week]]/Table1[[#This Row],['# FTE staff in role]])*($J$3/7))</f>
        <v>#DIV/0!</v>
      </c>
      <c r="M41" s="145" t="e">
        <f>Table1[[#This Row],[Total Wage]]/Table1[[#This Row],['# FTE staff in role]]</f>
        <v>#DIV/0!</v>
      </c>
      <c r="N41" s="145" t="e">
        <f>IF(ISBLANK(Table1[[#This Row],['# FTE staff in role]]),Table1[[#This Row],[Total Wage]]/(Table1[[#This Row],[Combined hrs per week]]*($J$3/7)),(Table1[[#This Row],[an. Wage Per FTE]]/Table1[[#This Row],[an. hrs per fte]]/24))</f>
        <v>#DIV/0!</v>
      </c>
      <c r="O41" s="327" t="str">
        <f>IF(ISBLANK(Table1[[#This Row],[Role]]),"",Table1[[#This Row],[Role]])</f>
        <v/>
      </c>
      <c r="P41" s="309" t="str">
        <f>IF(ISBLANK(Table1[[#This Row],[Role type]]),"",Table1[[#This Row],[Role type]])</f>
        <v/>
      </c>
      <c r="Q41" s="331" t="str">
        <f>IF(ISBLANK(Table1[[#This Row],[Rate]]),"",Table1[[#This Row],[Rate]])</f>
        <v/>
      </c>
      <c r="R41" s="331" t="str">
        <f>IF(ISBLANK(Table1[[#This Row],[Hrly Staff only Bank Hol hrly rate 1]]),"",Table1[[#This Row],[Hrly Staff only Bank Hol hrly rate 1]])</f>
        <v/>
      </c>
      <c r="S41" s="331">
        <f>IF(ISBLANK(Table1[[#This Row],[Hrly Staff only Bank Hol hrly rate 2]]),0,Table1[[#This Row],[Hrly Staff only Bank Hol hrly rate 2]])</f>
        <v>0</v>
      </c>
      <c r="T41" s="331" t="str">
        <f>IF(ISBLANK(Table1[[#This Row],[Per (Year /Hr)]]),"",Table1[[#This Row],[Per (Year /Hr)]])</f>
        <v/>
      </c>
      <c r="U41" s="455" t="str">
        <f>IF(ISBLANK(Table1[[#This Row],['# FTE staff in role]]),"",Table1[[#This Row],['# FTE staff in role]])</f>
        <v/>
      </c>
      <c r="V41" s="317" t="str">
        <f>IF(ISBLANK(Table1[[#This Row],[Combined hrs per week]]),"",Table1[[#This Row],[Combined hrs per week]])</f>
        <v/>
      </c>
      <c r="W41"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1" s="34" t="str">
        <f>IFERROR(IF(Table14[[#This Row],[Per]]="year","",$X$6*Table14[[#This Row],[Cohort Wage (includes BH for hrly rate staff)]]),"")</f>
        <v/>
      </c>
      <c r="Y41" s="35">
        <f>IFERROR(IF(Table14[[#This Row],[Per]]="year",Table14[[#This Row],[Cohort Wage (includes BH for hrly rate staff)]],Table14[[#This Row],[Cohort Wage (includes BH for hrly rate staff)]]+Table14[[#This Row],[Hrly staff AL accrual]]),0)</f>
        <v>0</v>
      </c>
      <c r="Z41" s="70" t="e">
        <f>((Table14[Revised Combined hrs per week]/Table14[Revised '# Staff in role])*($X$3/7))</f>
        <v>#VALUE!</v>
      </c>
      <c r="AA41" s="70" t="e">
        <f>Table14[[#This Row],[Total Wage]]/Table14[Revised '# Staff in role]</f>
        <v>#VALUE!</v>
      </c>
      <c r="AB41" s="70" t="e">
        <f>(Table14[[#This Row],[an wg per fte]]/Table14[[#This Row],[an hrs per fte]]/24)</f>
        <v>#VALUE!</v>
      </c>
    </row>
    <row r="42" spans="1:28" x14ac:dyDescent="0.35">
      <c r="A42" s="327"/>
      <c r="B42" s="330"/>
      <c r="C42" s="227"/>
      <c r="D42" s="227"/>
      <c r="E42" s="227"/>
      <c r="F42" s="310"/>
      <c r="G42" s="388"/>
      <c r="H42" s="228"/>
      <c r="I42"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2" s="34" t="str">
        <f>IFERROR(IF(Table1[[#This Row],[Per (Year /Hr)]]="year","",$J$6*Table1[[#This Row],[Cohort wage (includes BH for hrly staff)]]),"")</f>
        <v/>
      </c>
      <c r="K42" s="185">
        <f>IFERROR(IF(Table1[[#This Row],[Per (Year /Hr)]]="year",Table1[[#This Row],[Cohort wage (includes BH for hrly staff)]],Table1[[#This Row],[Cohort wage (includes BH for hrly staff)]]+Table1[[#This Row],[Hrly staff AL accrual]]),0)</f>
        <v>0</v>
      </c>
      <c r="L42" s="144" t="e">
        <f>((Table1[[#This Row],[Combined hrs per week]]/Table1[[#This Row],['# FTE staff in role]])*($J$3/7))</f>
        <v>#DIV/0!</v>
      </c>
      <c r="M42" s="145" t="e">
        <f>Table1[[#This Row],[Total Wage]]/Table1[[#This Row],['# FTE staff in role]]</f>
        <v>#DIV/0!</v>
      </c>
      <c r="N42" s="145" t="e">
        <f>IF(ISBLANK(Table1[[#This Row],['# FTE staff in role]]),Table1[[#This Row],[Total Wage]]/(Table1[[#This Row],[Combined hrs per week]]*($J$3/7)),(Table1[[#This Row],[an. Wage Per FTE]]/Table1[[#This Row],[an. hrs per fte]]/24))</f>
        <v>#DIV/0!</v>
      </c>
      <c r="O42" s="327" t="str">
        <f>IF(ISBLANK(Table1[[#This Row],[Role]]),"",Table1[[#This Row],[Role]])</f>
        <v/>
      </c>
      <c r="P42" s="309" t="str">
        <f>IF(ISBLANK(Table1[[#This Row],[Role type]]),"",Table1[[#This Row],[Role type]])</f>
        <v/>
      </c>
      <c r="Q42" s="331" t="str">
        <f>IF(ISBLANK(Table1[[#This Row],[Rate]]),"",Table1[[#This Row],[Rate]])</f>
        <v/>
      </c>
      <c r="R42" s="331" t="str">
        <f>IF(ISBLANK(Table1[[#This Row],[Hrly Staff only Bank Hol hrly rate 1]]),"",Table1[[#This Row],[Hrly Staff only Bank Hol hrly rate 1]])</f>
        <v/>
      </c>
      <c r="S42" s="331">
        <f>IF(ISBLANK(Table1[[#This Row],[Hrly Staff only Bank Hol hrly rate 2]]),0,Table1[[#This Row],[Hrly Staff only Bank Hol hrly rate 2]])</f>
        <v>0</v>
      </c>
      <c r="T42" s="331" t="str">
        <f>IF(ISBLANK(Table1[[#This Row],[Per (Year /Hr)]]),"",Table1[[#This Row],[Per (Year /Hr)]])</f>
        <v/>
      </c>
      <c r="U42" s="455" t="str">
        <f>IF(ISBLANK(Table1[[#This Row],['# FTE staff in role]]),"",Table1[[#This Row],['# FTE staff in role]])</f>
        <v/>
      </c>
      <c r="V42" s="317" t="str">
        <f>IF(ISBLANK(Table1[[#This Row],[Combined hrs per week]]),"",Table1[[#This Row],[Combined hrs per week]])</f>
        <v/>
      </c>
      <c r="W42"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2" s="34" t="str">
        <f>IFERROR(IF(Table14[[#This Row],[Per]]="year","",$X$6*Table14[[#This Row],[Cohort Wage (includes BH for hrly rate staff)]]),"")</f>
        <v/>
      </c>
      <c r="Y42" s="35">
        <f>IFERROR(IF(Table14[[#This Row],[Per]]="year",Table14[[#This Row],[Cohort Wage (includes BH for hrly rate staff)]],Table14[[#This Row],[Cohort Wage (includes BH for hrly rate staff)]]+Table14[[#This Row],[Hrly staff AL accrual]]),0)</f>
        <v>0</v>
      </c>
      <c r="Z42" s="70" t="e">
        <f>((Table14[Revised Combined hrs per week]/Table14[Revised '# Staff in role])*($X$3/7))</f>
        <v>#VALUE!</v>
      </c>
      <c r="AA42" s="70" t="e">
        <f>Table14[[#This Row],[Total Wage]]/Table14[Revised '# Staff in role]</f>
        <v>#VALUE!</v>
      </c>
      <c r="AB42" s="70" t="e">
        <f>(Table14[[#This Row],[an wg per fte]]/Table14[[#This Row],[an hrs per fte]]/24)</f>
        <v>#VALUE!</v>
      </c>
    </row>
    <row r="43" spans="1:28" x14ac:dyDescent="0.35">
      <c r="A43" s="327"/>
      <c r="B43" s="330"/>
      <c r="C43" s="227"/>
      <c r="D43" s="227"/>
      <c r="E43" s="227"/>
      <c r="F43" s="310"/>
      <c r="G43" s="388"/>
      <c r="H43" s="228"/>
      <c r="I43"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3" s="34" t="str">
        <f>IFERROR(IF(Table1[[#This Row],[Per (Year /Hr)]]="year","",$J$6*Table1[[#This Row],[Cohort wage (includes BH for hrly staff)]]),"")</f>
        <v/>
      </c>
      <c r="K43" s="185">
        <f>IFERROR(IF(Table1[[#This Row],[Per (Year /Hr)]]="year",Table1[[#This Row],[Cohort wage (includes BH for hrly staff)]],Table1[[#This Row],[Cohort wage (includes BH for hrly staff)]]+Table1[[#This Row],[Hrly staff AL accrual]]),0)</f>
        <v>0</v>
      </c>
      <c r="L43" s="144" t="e">
        <f>((Table1[[#This Row],[Combined hrs per week]]/Table1[[#This Row],['# FTE staff in role]])*($J$3/7))</f>
        <v>#DIV/0!</v>
      </c>
      <c r="M43" s="145" t="e">
        <f>Table1[[#This Row],[Total Wage]]/Table1[[#This Row],['# FTE staff in role]]</f>
        <v>#DIV/0!</v>
      </c>
      <c r="N43" s="145" t="e">
        <f>IF(ISBLANK(Table1[[#This Row],['# FTE staff in role]]),Table1[[#This Row],[Total Wage]]/(Table1[[#This Row],[Combined hrs per week]]*($J$3/7)),(Table1[[#This Row],[an. Wage Per FTE]]/Table1[[#This Row],[an. hrs per fte]]/24))</f>
        <v>#DIV/0!</v>
      </c>
      <c r="O43" s="327" t="str">
        <f>IF(ISBLANK(Table1[[#This Row],[Role]]),"",Table1[[#This Row],[Role]])</f>
        <v/>
      </c>
      <c r="P43" s="309" t="str">
        <f>IF(ISBLANK(Table1[[#This Row],[Role type]]),"",Table1[[#This Row],[Role type]])</f>
        <v/>
      </c>
      <c r="Q43" s="331" t="str">
        <f>IF(ISBLANK(Table1[[#This Row],[Rate]]),"",Table1[[#This Row],[Rate]])</f>
        <v/>
      </c>
      <c r="R43" s="331" t="str">
        <f>IF(ISBLANK(Table1[[#This Row],[Hrly Staff only Bank Hol hrly rate 1]]),"",Table1[[#This Row],[Hrly Staff only Bank Hol hrly rate 1]])</f>
        <v/>
      </c>
      <c r="S43" s="331">
        <f>IF(ISBLANK(Table1[[#This Row],[Hrly Staff only Bank Hol hrly rate 2]]),0,Table1[[#This Row],[Hrly Staff only Bank Hol hrly rate 2]])</f>
        <v>0</v>
      </c>
      <c r="T43" s="331" t="str">
        <f>IF(ISBLANK(Table1[[#This Row],[Per (Year /Hr)]]),"",Table1[[#This Row],[Per (Year /Hr)]])</f>
        <v/>
      </c>
      <c r="U43" s="455" t="str">
        <f>IF(ISBLANK(Table1[[#This Row],['# FTE staff in role]]),"",Table1[[#This Row],['# FTE staff in role]])</f>
        <v/>
      </c>
      <c r="V43" s="317" t="str">
        <f>IF(ISBLANK(Table1[[#This Row],[Combined hrs per week]]),"",Table1[[#This Row],[Combined hrs per week]])</f>
        <v/>
      </c>
      <c r="W43"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3" s="34" t="str">
        <f>IFERROR(IF(Table14[[#This Row],[Per]]="year","",$X$6*Table14[[#This Row],[Cohort Wage (includes BH for hrly rate staff)]]),"")</f>
        <v/>
      </c>
      <c r="Y43" s="35">
        <f>IFERROR(IF(Table14[[#This Row],[Per]]="year",Table14[[#This Row],[Cohort Wage (includes BH for hrly rate staff)]],Table14[[#This Row],[Cohort Wage (includes BH for hrly rate staff)]]+Table14[[#This Row],[Hrly staff AL accrual]]),0)</f>
        <v>0</v>
      </c>
      <c r="Z43" s="70" t="e">
        <f>((Table14[Revised Combined hrs per week]/Table14[Revised '# Staff in role])*($X$3/7))</f>
        <v>#VALUE!</v>
      </c>
      <c r="AA43" s="70" t="e">
        <f>Table14[[#This Row],[Total Wage]]/Table14[Revised '# Staff in role]</f>
        <v>#VALUE!</v>
      </c>
      <c r="AB43" s="70" t="e">
        <f>(Table14[[#This Row],[an wg per fte]]/Table14[[#This Row],[an hrs per fte]]/24)</f>
        <v>#VALUE!</v>
      </c>
    </row>
    <row r="44" spans="1:28" x14ac:dyDescent="0.35">
      <c r="A44" s="327"/>
      <c r="B44" s="330"/>
      <c r="C44" s="227"/>
      <c r="D44" s="227"/>
      <c r="E44" s="227"/>
      <c r="F44" s="310"/>
      <c r="G44" s="388"/>
      <c r="H44" s="228"/>
      <c r="I44"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4" s="34" t="str">
        <f>IFERROR(IF(Table1[[#This Row],[Per (Year /Hr)]]="year","",$J$6*Table1[[#This Row],[Cohort wage (includes BH for hrly staff)]]),"")</f>
        <v/>
      </c>
      <c r="K44" s="185">
        <f>IFERROR(IF(Table1[[#This Row],[Per (Year /Hr)]]="year",Table1[[#This Row],[Cohort wage (includes BH for hrly staff)]],Table1[[#This Row],[Cohort wage (includes BH for hrly staff)]]+Table1[[#This Row],[Hrly staff AL accrual]]),0)</f>
        <v>0</v>
      </c>
      <c r="L44" s="144" t="e">
        <f>((Table1[[#This Row],[Combined hrs per week]]/Table1[[#This Row],['# FTE staff in role]])*($J$3/7))</f>
        <v>#DIV/0!</v>
      </c>
      <c r="M44" s="145" t="e">
        <f>Table1[[#This Row],[Total Wage]]/Table1[[#This Row],['# FTE staff in role]]</f>
        <v>#DIV/0!</v>
      </c>
      <c r="N44" s="145" t="e">
        <f>IF(ISBLANK(Table1[[#This Row],['# FTE staff in role]]),Table1[[#This Row],[Total Wage]]/(Table1[[#This Row],[Combined hrs per week]]*($J$3/7)),(Table1[[#This Row],[an. Wage Per FTE]]/Table1[[#This Row],[an. hrs per fte]]/24))</f>
        <v>#DIV/0!</v>
      </c>
      <c r="O44" s="327" t="str">
        <f>IF(ISBLANK(Table1[[#This Row],[Role]]),"",Table1[[#This Row],[Role]])</f>
        <v/>
      </c>
      <c r="P44" s="309" t="str">
        <f>IF(ISBLANK(Table1[[#This Row],[Role type]]),"",Table1[[#This Row],[Role type]])</f>
        <v/>
      </c>
      <c r="Q44" s="331" t="str">
        <f>IF(ISBLANK(Table1[[#This Row],[Rate]]),"",Table1[[#This Row],[Rate]])</f>
        <v/>
      </c>
      <c r="R44" s="331" t="str">
        <f>IF(ISBLANK(Table1[[#This Row],[Hrly Staff only Bank Hol hrly rate 1]]),"",Table1[[#This Row],[Hrly Staff only Bank Hol hrly rate 1]])</f>
        <v/>
      </c>
      <c r="S44" s="331">
        <f>IF(ISBLANK(Table1[[#This Row],[Hrly Staff only Bank Hol hrly rate 2]]),0,Table1[[#This Row],[Hrly Staff only Bank Hol hrly rate 2]])</f>
        <v>0</v>
      </c>
      <c r="T44" s="331" t="str">
        <f>IF(ISBLANK(Table1[[#This Row],[Per (Year /Hr)]]),"",Table1[[#This Row],[Per (Year /Hr)]])</f>
        <v/>
      </c>
      <c r="U44" s="455" t="str">
        <f>IF(ISBLANK(Table1[[#This Row],['# FTE staff in role]]),"",Table1[[#This Row],['# FTE staff in role]])</f>
        <v/>
      </c>
      <c r="V44" s="317" t="str">
        <f>IF(ISBLANK(Table1[[#This Row],[Combined hrs per week]]),"",Table1[[#This Row],[Combined hrs per week]])</f>
        <v/>
      </c>
      <c r="W44"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4" s="34" t="str">
        <f>IFERROR(IF(Table14[[#This Row],[Per]]="year","",$X$6*Table14[[#This Row],[Cohort Wage (includes BH for hrly rate staff)]]),"")</f>
        <v/>
      </c>
      <c r="Y44" s="35">
        <f>IFERROR(IF(Table14[[#This Row],[Per]]="year",Table14[[#This Row],[Cohort Wage (includes BH for hrly rate staff)]],Table14[[#This Row],[Cohort Wage (includes BH for hrly rate staff)]]+Table14[[#This Row],[Hrly staff AL accrual]]),0)</f>
        <v>0</v>
      </c>
      <c r="Z44" s="70" t="e">
        <f>((Table14[Revised Combined hrs per week]/Table14[Revised '# Staff in role])*($X$3/7))</f>
        <v>#VALUE!</v>
      </c>
      <c r="AA44" s="70" t="e">
        <f>Table14[[#This Row],[Total Wage]]/Table14[Revised '# Staff in role]</f>
        <v>#VALUE!</v>
      </c>
      <c r="AB44" s="70" t="e">
        <f>(Table14[[#This Row],[an wg per fte]]/Table14[[#This Row],[an hrs per fte]]/24)</f>
        <v>#VALUE!</v>
      </c>
    </row>
    <row r="45" spans="1:28" x14ac:dyDescent="0.35">
      <c r="A45" s="327"/>
      <c r="B45" s="330"/>
      <c r="C45" s="227"/>
      <c r="D45" s="227"/>
      <c r="E45" s="227"/>
      <c r="F45" s="310"/>
      <c r="G45" s="388"/>
      <c r="H45" s="228"/>
      <c r="I45"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5" s="34" t="str">
        <f>IFERROR(IF(Table1[[#This Row],[Per (Year /Hr)]]="year","",$J$6*Table1[[#This Row],[Cohort wage (includes BH for hrly staff)]]),"")</f>
        <v/>
      </c>
      <c r="K45" s="185">
        <f>IFERROR(IF(Table1[[#This Row],[Per (Year /Hr)]]="year",Table1[[#This Row],[Cohort wage (includes BH for hrly staff)]],Table1[[#This Row],[Cohort wage (includes BH for hrly staff)]]+Table1[[#This Row],[Hrly staff AL accrual]]),0)</f>
        <v>0</v>
      </c>
      <c r="L45" s="144" t="e">
        <f>((Table1[[#This Row],[Combined hrs per week]]/Table1[[#This Row],['# FTE staff in role]])*($J$3/7))</f>
        <v>#DIV/0!</v>
      </c>
      <c r="M45" s="145" t="e">
        <f>Table1[[#This Row],[Total Wage]]/Table1[[#This Row],['# FTE staff in role]]</f>
        <v>#DIV/0!</v>
      </c>
      <c r="N45" s="145" t="e">
        <f>IF(ISBLANK(Table1[[#This Row],['# FTE staff in role]]),Table1[[#This Row],[Total Wage]]/(Table1[[#This Row],[Combined hrs per week]]*($J$3/7)),(Table1[[#This Row],[an. Wage Per FTE]]/Table1[[#This Row],[an. hrs per fte]]/24))</f>
        <v>#DIV/0!</v>
      </c>
      <c r="O45" s="327" t="str">
        <f>IF(ISBLANK(Table1[[#This Row],[Role]]),"",Table1[[#This Row],[Role]])</f>
        <v/>
      </c>
      <c r="P45" s="309" t="str">
        <f>IF(ISBLANK(Table1[[#This Row],[Role type]]),"",Table1[[#This Row],[Role type]])</f>
        <v/>
      </c>
      <c r="Q45" s="331" t="str">
        <f>IF(ISBLANK(Table1[[#This Row],[Rate]]),"",Table1[[#This Row],[Rate]])</f>
        <v/>
      </c>
      <c r="R45" s="331" t="str">
        <f>IF(ISBLANK(Table1[[#This Row],[Hrly Staff only Bank Hol hrly rate 1]]),"",Table1[[#This Row],[Hrly Staff only Bank Hol hrly rate 1]])</f>
        <v/>
      </c>
      <c r="S45" s="331">
        <f>IF(ISBLANK(Table1[[#This Row],[Hrly Staff only Bank Hol hrly rate 2]]),0,Table1[[#This Row],[Hrly Staff only Bank Hol hrly rate 2]])</f>
        <v>0</v>
      </c>
      <c r="T45" s="331" t="str">
        <f>IF(ISBLANK(Table1[[#This Row],[Per (Year /Hr)]]),"",Table1[[#This Row],[Per (Year /Hr)]])</f>
        <v/>
      </c>
      <c r="U45" s="455" t="str">
        <f>IF(ISBLANK(Table1[[#This Row],['# FTE staff in role]]),"",Table1[[#This Row],['# FTE staff in role]])</f>
        <v/>
      </c>
      <c r="V45" s="317" t="str">
        <f>IF(ISBLANK(Table1[[#This Row],[Combined hrs per week]]),"",Table1[[#This Row],[Combined hrs per week]])</f>
        <v/>
      </c>
      <c r="W45"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5" s="34" t="str">
        <f>IFERROR(IF(Table14[[#This Row],[Per]]="year","",$X$6*Table14[[#This Row],[Cohort Wage (includes BH for hrly rate staff)]]),"")</f>
        <v/>
      </c>
      <c r="Y45" s="35">
        <f>IFERROR(IF(Table14[[#This Row],[Per]]="year",Table14[[#This Row],[Cohort Wage (includes BH for hrly rate staff)]],Table14[[#This Row],[Cohort Wage (includes BH for hrly rate staff)]]+Table14[[#This Row],[Hrly staff AL accrual]]),0)</f>
        <v>0</v>
      </c>
      <c r="Z45" s="70" t="e">
        <f>((Table14[Revised Combined hrs per week]/Table14[Revised '# Staff in role])*($X$3/7))</f>
        <v>#VALUE!</v>
      </c>
      <c r="AA45" s="70" t="e">
        <f>Table14[[#This Row],[Total Wage]]/Table14[Revised '# Staff in role]</f>
        <v>#VALUE!</v>
      </c>
      <c r="AB45" s="70" t="e">
        <f>(Table14[[#This Row],[an wg per fte]]/Table14[[#This Row],[an hrs per fte]]/24)</f>
        <v>#VALUE!</v>
      </c>
    </row>
    <row r="46" spans="1:28" x14ac:dyDescent="0.35">
      <c r="A46" s="327"/>
      <c r="B46" s="330"/>
      <c r="C46" s="227"/>
      <c r="D46" s="227"/>
      <c r="E46" s="227"/>
      <c r="F46" s="310"/>
      <c r="G46" s="388"/>
      <c r="H46" s="228"/>
      <c r="I46"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6" s="34" t="str">
        <f>IFERROR(IF(Table1[[#This Row],[Per (Year /Hr)]]="year","",$J$6*Table1[[#This Row],[Cohort wage (includes BH for hrly staff)]]),"")</f>
        <v/>
      </c>
      <c r="K46" s="185">
        <f>IFERROR(IF(Table1[[#This Row],[Per (Year /Hr)]]="year",Table1[[#This Row],[Cohort wage (includes BH for hrly staff)]],Table1[[#This Row],[Cohort wage (includes BH for hrly staff)]]+Table1[[#This Row],[Hrly staff AL accrual]]),0)</f>
        <v>0</v>
      </c>
      <c r="L46" s="144" t="e">
        <f>((Table1[[#This Row],[Combined hrs per week]]/Table1[[#This Row],['# FTE staff in role]])*($J$3/7))</f>
        <v>#DIV/0!</v>
      </c>
      <c r="M46" s="145" t="e">
        <f>Table1[[#This Row],[Total Wage]]/Table1[[#This Row],['# FTE staff in role]]</f>
        <v>#DIV/0!</v>
      </c>
      <c r="N46" s="145" t="e">
        <f>IF(ISBLANK(Table1[[#This Row],['# FTE staff in role]]),Table1[[#This Row],[Total Wage]]/(Table1[[#This Row],[Combined hrs per week]]*($J$3/7)),(Table1[[#This Row],[an. Wage Per FTE]]/Table1[[#This Row],[an. hrs per fte]]/24))</f>
        <v>#DIV/0!</v>
      </c>
      <c r="O46" s="327" t="str">
        <f>IF(ISBLANK(Table1[[#This Row],[Role]]),"",Table1[[#This Row],[Role]])</f>
        <v/>
      </c>
      <c r="P46" s="309" t="str">
        <f>IF(ISBLANK(Table1[[#This Row],[Role type]]),"",Table1[[#This Row],[Role type]])</f>
        <v/>
      </c>
      <c r="Q46" s="331" t="str">
        <f>IF(ISBLANK(Table1[[#This Row],[Rate]]),"",Table1[[#This Row],[Rate]])</f>
        <v/>
      </c>
      <c r="R46" s="331" t="str">
        <f>IF(ISBLANK(Table1[[#This Row],[Hrly Staff only Bank Hol hrly rate 1]]),"",Table1[[#This Row],[Hrly Staff only Bank Hol hrly rate 1]])</f>
        <v/>
      </c>
      <c r="S46" s="331">
        <f>IF(ISBLANK(Table1[[#This Row],[Hrly Staff only Bank Hol hrly rate 2]]),0,Table1[[#This Row],[Hrly Staff only Bank Hol hrly rate 2]])</f>
        <v>0</v>
      </c>
      <c r="T46" s="331" t="str">
        <f>IF(ISBLANK(Table1[[#This Row],[Per (Year /Hr)]]),"",Table1[[#This Row],[Per (Year /Hr)]])</f>
        <v/>
      </c>
      <c r="U46" s="455" t="str">
        <f>IF(ISBLANK(Table1[[#This Row],['# FTE staff in role]]),"",Table1[[#This Row],['# FTE staff in role]])</f>
        <v/>
      </c>
      <c r="V46" s="317" t="str">
        <f>IF(ISBLANK(Table1[[#This Row],[Combined hrs per week]]),"",Table1[[#This Row],[Combined hrs per week]])</f>
        <v/>
      </c>
      <c r="W46"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6" s="34" t="str">
        <f>IFERROR(IF(Table14[[#This Row],[Per]]="year","",$X$6*Table14[[#This Row],[Cohort Wage (includes BH for hrly rate staff)]]),"")</f>
        <v/>
      </c>
      <c r="Y46" s="35">
        <f>IFERROR(IF(Table14[[#This Row],[Per]]="year",Table14[[#This Row],[Cohort Wage (includes BH for hrly rate staff)]],Table14[[#This Row],[Cohort Wage (includes BH for hrly rate staff)]]+Table14[[#This Row],[Hrly staff AL accrual]]),0)</f>
        <v>0</v>
      </c>
      <c r="Z46" s="70" t="e">
        <f>((Table14[Revised Combined hrs per week]/Table14[Revised '# Staff in role])*($X$3/7))</f>
        <v>#VALUE!</v>
      </c>
      <c r="AA46" s="70" t="e">
        <f>Table14[[#This Row],[Total Wage]]/Table14[Revised '# Staff in role]</f>
        <v>#VALUE!</v>
      </c>
      <c r="AB46" s="70" t="e">
        <f>(Table14[[#This Row],[an wg per fte]]/Table14[[#This Row],[an hrs per fte]]/24)</f>
        <v>#VALUE!</v>
      </c>
    </row>
    <row r="47" spans="1:28" x14ac:dyDescent="0.35">
      <c r="A47" s="327"/>
      <c r="B47" s="330"/>
      <c r="C47" s="227"/>
      <c r="D47" s="227"/>
      <c r="E47" s="227"/>
      <c r="F47" s="310"/>
      <c r="G47" s="388"/>
      <c r="H47" s="228"/>
      <c r="I47"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7" s="34" t="str">
        <f>IFERROR(IF(Table1[[#This Row],[Per (Year /Hr)]]="year","",$J$6*Table1[[#This Row],[Cohort wage (includes BH for hrly staff)]]),"")</f>
        <v/>
      </c>
      <c r="K47" s="185">
        <f>IFERROR(IF(Table1[[#This Row],[Per (Year /Hr)]]="year",Table1[[#This Row],[Cohort wage (includes BH for hrly staff)]],Table1[[#This Row],[Cohort wage (includes BH for hrly staff)]]+Table1[[#This Row],[Hrly staff AL accrual]]),0)</f>
        <v>0</v>
      </c>
      <c r="L47" s="144" t="e">
        <f>((Table1[[#This Row],[Combined hrs per week]]/Table1[[#This Row],['# FTE staff in role]])*($J$3/7))</f>
        <v>#DIV/0!</v>
      </c>
      <c r="M47" s="145" t="e">
        <f>Table1[[#This Row],[Total Wage]]/Table1[[#This Row],['# FTE staff in role]]</f>
        <v>#DIV/0!</v>
      </c>
      <c r="N47" s="145" t="e">
        <f>IF(ISBLANK(Table1[[#This Row],['# FTE staff in role]]),Table1[[#This Row],[Total Wage]]/(Table1[[#This Row],[Combined hrs per week]]*($J$3/7)),(Table1[[#This Row],[an. Wage Per FTE]]/Table1[[#This Row],[an. hrs per fte]]/24))</f>
        <v>#DIV/0!</v>
      </c>
      <c r="O47" s="327" t="str">
        <f>IF(ISBLANK(Table1[[#This Row],[Role]]),"",Table1[[#This Row],[Role]])</f>
        <v/>
      </c>
      <c r="P47" s="309" t="str">
        <f>IF(ISBLANK(Table1[[#This Row],[Role type]]),"",Table1[[#This Row],[Role type]])</f>
        <v/>
      </c>
      <c r="Q47" s="331" t="str">
        <f>IF(ISBLANK(Table1[[#This Row],[Rate]]),"",Table1[[#This Row],[Rate]])</f>
        <v/>
      </c>
      <c r="R47" s="331" t="str">
        <f>IF(ISBLANK(Table1[[#This Row],[Hrly Staff only Bank Hol hrly rate 1]]),"",Table1[[#This Row],[Hrly Staff only Bank Hol hrly rate 1]])</f>
        <v/>
      </c>
      <c r="S47" s="331">
        <f>IF(ISBLANK(Table1[[#This Row],[Hrly Staff only Bank Hol hrly rate 2]]),0,Table1[[#This Row],[Hrly Staff only Bank Hol hrly rate 2]])</f>
        <v>0</v>
      </c>
      <c r="T47" s="331" t="str">
        <f>IF(ISBLANK(Table1[[#This Row],[Per (Year /Hr)]]),"",Table1[[#This Row],[Per (Year /Hr)]])</f>
        <v/>
      </c>
      <c r="U47" s="455" t="str">
        <f>IF(ISBLANK(Table1[[#This Row],['# FTE staff in role]]),"",Table1[[#This Row],['# FTE staff in role]])</f>
        <v/>
      </c>
      <c r="V47" s="317" t="str">
        <f>IF(ISBLANK(Table1[[#This Row],[Combined hrs per week]]),"",Table1[[#This Row],[Combined hrs per week]])</f>
        <v/>
      </c>
      <c r="W47"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7" s="34" t="str">
        <f>IFERROR(IF(Table14[[#This Row],[Per]]="year","",$X$6*Table14[[#This Row],[Cohort Wage (includes BH for hrly rate staff)]]),"")</f>
        <v/>
      </c>
      <c r="Y47" s="35">
        <f>IFERROR(IF(Table14[[#This Row],[Per]]="year",Table14[[#This Row],[Cohort Wage (includes BH for hrly rate staff)]],Table14[[#This Row],[Cohort Wage (includes BH for hrly rate staff)]]+Table14[[#This Row],[Hrly staff AL accrual]]),0)</f>
        <v>0</v>
      </c>
      <c r="Z47" s="70" t="e">
        <f>((Table14[Revised Combined hrs per week]/Table14[Revised '# Staff in role])*($X$3/7))</f>
        <v>#VALUE!</v>
      </c>
      <c r="AA47" s="70" t="e">
        <f>Table14[[#This Row],[Total Wage]]/Table14[Revised '# Staff in role]</f>
        <v>#VALUE!</v>
      </c>
      <c r="AB47" s="70" t="e">
        <f>(Table14[[#This Row],[an wg per fte]]/Table14[[#This Row],[an hrs per fte]]/24)</f>
        <v>#VALUE!</v>
      </c>
    </row>
    <row r="48" spans="1:28" x14ac:dyDescent="0.35">
      <c r="A48" s="327"/>
      <c r="B48" s="330"/>
      <c r="C48" s="227"/>
      <c r="D48" s="227"/>
      <c r="E48" s="227"/>
      <c r="F48" s="310"/>
      <c r="G48" s="388"/>
      <c r="H48" s="228"/>
      <c r="I48"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8" s="34" t="str">
        <f>IFERROR(IF(Table1[[#This Row],[Per (Year /Hr)]]="year","",$J$6*Table1[[#This Row],[Cohort wage (includes BH for hrly staff)]]),"")</f>
        <v/>
      </c>
      <c r="K48" s="185">
        <f>IFERROR(IF(Table1[[#This Row],[Per (Year /Hr)]]="year",Table1[[#This Row],[Cohort wage (includes BH for hrly staff)]],Table1[[#This Row],[Cohort wage (includes BH for hrly staff)]]+Table1[[#This Row],[Hrly staff AL accrual]]),0)</f>
        <v>0</v>
      </c>
      <c r="L48" s="144" t="e">
        <f>((Table1[[#This Row],[Combined hrs per week]]/Table1[[#This Row],['# FTE staff in role]])*($J$3/7))</f>
        <v>#DIV/0!</v>
      </c>
      <c r="M48" s="145" t="e">
        <f>Table1[[#This Row],[Total Wage]]/Table1[[#This Row],['# FTE staff in role]]</f>
        <v>#DIV/0!</v>
      </c>
      <c r="N48" s="145" t="e">
        <f>IF(ISBLANK(Table1[[#This Row],['# FTE staff in role]]),Table1[[#This Row],[Total Wage]]/(Table1[[#This Row],[Combined hrs per week]]*($J$3/7)),(Table1[[#This Row],[an. Wage Per FTE]]/Table1[[#This Row],[an. hrs per fte]]/24))</f>
        <v>#DIV/0!</v>
      </c>
      <c r="O48" s="327" t="str">
        <f>IF(ISBLANK(Table1[[#This Row],[Role]]),"",Table1[[#This Row],[Role]])</f>
        <v/>
      </c>
      <c r="P48" s="309" t="str">
        <f>IF(ISBLANK(Table1[[#This Row],[Role type]]),"",Table1[[#This Row],[Role type]])</f>
        <v/>
      </c>
      <c r="Q48" s="331" t="str">
        <f>IF(ISBLANK(Table1[[#This Row],[Rate]]),"",Table1[[#This Row],[Rate]])</f>
        <v/>
      </c>
      <c r="R48" s="331" t="str">
        <f>IF(ISBLANK(Table1[[#This Row],[Hrly Staff only Bank Hol hrly rate 1]]),"",Table1[[#This Row],[Hrly Staff only Bank Hol hrly rate 1]])</f>
        <v/>
      </c>
      <c r="S48" s="331">
        <f>IF(ISBLANK(Table1[[#This Row],[Hrly Staff only Bank Hol hrly rate 2]]),0,Table1[[#This Row],[Hrly Staff only Bank Hol hrly rate 2]])</f>
        <v>0</v>
      </c>
      <c r="T48" s="331" t="str">
        <f>IF(ISBLANK(Table1[[#This Row],[Per (Year /Hr)]]),"",Table1[[#This Row],[Per (Year /Hr)]])</f>
        <v/>
      </c>
      <c r="U48" s="455" t="str">
        <f>IF(ISBLANK(Table1[[#This Row],['# FTE staff in role]]),"",Table1[[#This Row],['# FTE staff in role]])</f>
        <v/>
      </c>
      <c r="V48" s="317" t="str">
        <f>IF(ISBLANK(Table1[[#This Row],[Combined hrs per week]]),"",Table1[[#This Row],[Combined hrs per week]])</f>
        <v/>
      </c>
      <c r="W48"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8" s="34" t="str">
        <f>IFERROR(IF(Table14[[#This Row],[Per]]="year","",$X$6*Table14[[#This Row],[Cohort Wage (includes BH for hrly rate staff)]]),"")</f>
        <v/>
      </c>
      <c r="Y48" s="35">
        <f>IFERROR(IF(Table14[[#This Row],[Per]]="year",Table14[[#This Row],[Cohort Wage (includes BH for hrly rate staff)]],Table14[[#This Row],[Cohort Wage (includes BH for hrly rate staff)]]+Table14[[#This Row],[Hrly staff AL accrual]]),0)</f>
        <v>0</v>
      </c>
      <c r="Z48" s="70" t="e">
        <f>((Table14[Revised Combined hrs per week]/Table14[Revised '# Staff in role])*($X$3/7))</f>
        <v>#VALUE!</v>
      </c>
      <c r="AA48" s="70" t="e">
        <f>Table14[[#This Row],[Total Wage]]/Table14[Revised '# Staff in role]</f>
        <v>#VALUE!</v>
      </c>
      <c r="AB48" s="70" t="e">
        <f>(Table14[[#This Row],[an wg per fte]]/Table14[[#This Row],[an hrs per fte]]/24)</f>
        <v>#VALUE!</v>
      </c>
    </row>
    <row r="49" spans="1:28" x14ac:dyDescent="0.35">
      <c r="A49" s="327"/>
      <c r="B49" s="330"/>
      <c r="C49" s="227"/>
      <c r="D49" s="227"/>
      <c r="E49" s="227"/>
      <c r="F49" s="310"/>
      <c r="G49" s="388"/>
      <c r="H49" s="228"/>
      <c r="I49"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49" s="34" t="str">
        <f>IFERROR(IF(Table1[[#This Row],[Per (Year /Hr)]]="year","",$J$6*Table1[[#This Row],[Cohort wage (includes BH for hrly staff)]]),"")</f>
        <v/>
      </c>
      <c r="K49" s="185">
        <f>IFERROR(IF(Table1[[#This Row],[Per (Year /Hr)]]="year",Table1[[#This Row],[Cohort wage (includes BH for hrly staff)]],Table1[[#This Row],[Cohort wage (includes BH for hrly staff)]]+Table1[[#This Row],[Hrly staff AL accrual]]),0)</f>
        <v>0</v>
      </c>
      <c r="L49" s="144" t="e">
        <f>((Table1[[#This Row],[Combined hrs per week]]/Table1[[#This Row],['# FTE staff in role]])*($J$3/7))</f>
        <v>#DIV/0!</v>
      </c>
      <c r="M49" s="145" t="e">
        <f>Table1[[#This Row],[Total Wage]]/Table1[[#This Row],['# FTE staff in role]]</f>
        <v>#DIV/0!</v>
      </c>
      <c r="N49" s="145" t="e">
        <f>IF(ISBLANK(Table1[[#This Row],['# FTE staff in role]]),Table1[[#This Row],[Total Wage]]/(Table1[[#This Row],[Combined hrs per week]]*($J$3/7)),(Table1[[#This Row],[an. Wage Per FTE]]/Table1[[#This Row],[an. hrs per fte]]/24))</f>
        <v>#DIV/0!</v>
      </c>
      <c r="O49" s="327" t="str">
        <f>IF(ISBLANK(Table1[[#This Row],[Role]]),"",Table1[[#This Row],[Role]])</f>
        <v/>
      </c>
      <c r="P49" s="309" t="str">
        <f>IF(ISBLANK(Table1[[#This Row],[Role type]]),"",Table1[[#This Row],[Role type]])</f>
        <v/>
      </c>
      <c r="Q49" s="331" t="str">
        <f>IF(ISBLANK(Table1[[#This Row],[Rate]]),"",Table1[[#This Row],[Rate]])</f>
        <v/>
      </c>
      <c r="R49" s="331" t="str">
        <f>IF(ISBLANK(Table1[[#This Row],[Hrly Staff only Bank Hol hrly rate 1]]),"",Table1[[#This Row],[Hrly Staff only Bank Hol hrly rate 1]])</f>
        <v/>
      </c>
      <c r="S49" s="331">
        <f>IF(ISBLANK(Table1[[#This Row],[Hrly Staff only Bank Hol hrly rate 2]]),0,Table1[[#This Row],[Hrly Staff only Bank Hol hrly rate 2]])</f>
        <v>0</v>
      </c>
      <c r="T49" s="331" t="str">
        <f>IF(ISBLANK(Table1[[#This Row],[Per (Year /Hr)]]),"",Table1[[#This Row],[Per (Year /Hr)]])</f>
        <v/>
      </c>
      <c r="U49" s="455" t="str">
        <f>IF(ISBLANK(Table1[[#This Row],['# FTE staff in role]]),"",Table1[[#This Row],['# FTE staff in role]])</f>
        <v/>
      </c>
      <c r="V49" s="317" t="str">
        <f>IF(ISBLANK(Table1[[#This Row],[Combined hrs per week]]),"",Table1[[#This Row],[Combined hrs per week]])</f>
        <v/>
      </c>
      <c r="W49"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49" s="34" t="str">
        <f>IFERROR(IF(Table14[[#This Row],[Per]]="year","",$X$6*Table14[[#This Row],[Cohort Wage (includes BH for hrly rate staff)]]),"")</f>
        <v/>
      </c>
      <c r="Y49" s="35">
        <f>IFERROR(IF(Table14[[#This Row],[Per]]="year",Table14[[#This Row],[Cohort Wage (includes BH for hrly rate staff)]],Table14[[#This Row],[Cohort Wage (includes BH for hrly rate staff)]]+Table14[[#This Row],[Hrly staff AL accrual]]),0)</f>
        <v>0</v>
      </c>
      <c r="Z49" s="70" t="e">
        <f>((Table14[Revised Combined hrs per week]/Table14[Revised '# Staff in role])*($X$3/7))</f>
        <v>#VALUE!</v>
      </c>
      <c r="AA49" s="70" t="e">
        <f>Table14[[#This Row],[Total Wage]]/Table14[Revised '# Staff in role]</f>
        <v>#VALUE!</v>
      </c>
      <c r="AB49" s="70" t="e">
        <f>(Table14[[#This Row],[an wg per fte]]/Table14[[#This Row],[an hrs per fte]]/24)</f>
        <v>#VALUE!</v>
      </c>
    </row>
    <row r="50" spans="1:28" x14ac:dyDescent="0.35">
      <c r="A50" s="327"/>
      <c r="B50" s="330"/>
      <c r="C50" s="227"/>
      <c r="D50" s="227"/>
      <c r="E50" s="227"/>
      <c r="F50" s="310"/>
      <c r="G50" s="388"/>
      <c r="H50" s="228"/>
      <c r="I50"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0" s="34" t="str">
        <f>IFERROR(IF(Table1[[#This Row],[Per (Year /Hr)]]="year","",$J$6*Table1[[#This Row],[Cohort wage (includes BH for hrly staff)]]),"")</f>
        <v/>
      </c>
      <c r="K50" s="185">
        <f>IFERROR(IF(Table1[[#This Row],[Per (Year /Hr)]]="year",Table1[[#This Row],[Cohort wage (includes BH for hrly staff)]],Table1[[#This Row],[Cohort wage (includes BH for hrly staff)]]+Table1[[#This Row],[Hrly staff AL accrual]]),0)</f>
        <v>0</v>
      </c>
      <c r="L50" s="144" t="e">
        <f>((Table1[[#This Row],[Combined hrs per week]]/Table1[[#This Row],['# FTE staff in role]])*($J$3/7))</f>
        <v>#DIV/0!</v>
      </c>
      <c r="M50" s="145" t="e">
        <f>Table1[[#This Row],[Total Wage]]/Table1[[#This Row],['# FTE staff in role]]</f>
        <v>#DIV/0!</v>
      </c>
      <c r="N50" s="145" t="e">
        <f>IF(ISBLANK(Table1[[#This Row],['# FTE staff in role]]),Table1[[#This Row],[Total Wage]]/(Table1[[#This Row],[Combined hrs per week]]*($J$3/7)),(Table1[[#This Row],[an. Wage Per FTE]]/Table1[[#This Row],[an. hrs per fte]]/24))</f>
        <v>#DIV/0!</v>
      </c>
      <c r="O50" s="327" t="str">
        <f>IF(ISBLANK(Table1[[#This Row],[Role]]),"",Table1[[#This Row],[Role]])</f>
        <v/>
      </c>
      <c r="P50" s="309" t="str">
        <f>IF(ISBLANK(Table1[[#This Row],[Role type]]),"",Table1[[#This Row],[Role type]])</f>
        <v/>
      </c>
      <c r="Q50" s="331" t="str">
        <f>IF(ISBLANK(Table1[[#This Row],[Rate]]),"",Table1[[#This Row],[Rate]])</f>
        <v/>
      </c>
      <c r="R50" s="331" t="str">
        <f>IF(ISBLANK(Table1[[#This Row],[Hrly Staff only Bank Hol hrly rate 1]]),"",Table1[[#This Row],[Hrly Staff only Bank Hol hrly rate 1]])</f>
        <v/>
      </c>
      <c r="S50" s="331">
        <f>IF(ISBLANK(Table1[[#This Row],[Hrly Staff only Bank Hol hrly rate 2]]),0,Table1[[#This Row],[Hrly Staff only Bank Hol hrly rate 2]])</f>
        <v>0</v>
      </c>
      <c r="T50" s="331" t="str">
        <f>IF(ISBLANK(Table1[[#This Row],[Per (Year /Hr)]]),"",Table1[[#This Row],[Per (Year /Hr)]])</f>
        <v/>
      </c>
      <c r="U50" s="455" t="str">
        <f>IF(ISBLANK(Table1[[#This Row],['# FTE staff in role]]),"",Table1[[#This Row],['# FTE staff in role]])</f>
        <v/>
      </c>
      <c r="V50" s="317" t="str">
        <f>IF(ISBLANK(Table1[[#This Row],[Combined hrs per week]]),"",Table1[[#This Row],[Combined hrs per week]])</f>
        <v/>
      </c>
      <c r="W50"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0" s="34" t="str">
        <f>IFERROR(IF(Table14[[#This Row],[Per]]="year","",$X$6*Table14[[#This Row],[Cohort Wage (includes BH for hrly rate staff)]]),"")</f>
        <v/>
      </c>
      <c r="Y50" s="35">
        <f>IFERROR(IF(Table14[[#This Row],[Per]]="year",Table14[[#This Row],[Cohort Wage (includes BH for hrly rate staff)]],Table14[[#This Row],[Cohort Wage (includes BH for hrly rate staff)]]+Table14[[#This Row],[Hrly staff AL accrual]]),0)</f>
        <v>0</v>
      </c>
      <c r="Z50" s="70" t="e">
        <f>((Table14[Revised Combined hrs per week]/Table14[Revised '# Staff in role])*($X$3/7))</f>
        <v>#VALUE!</v>
      </c>
      <c r="AA50" s="70" t="e">
        <f>Table14[[#This Row],[Total Wage]]/Table14[Revised '# Staff in role]</f>
        <v>#VALUE!</v>
      </c>
      <c r="AB50" s="70" t="e">
        <f>(Table14[[#This Row],[an wg per fte]]/Table14[[#This Row],[an hrs per fte]]/24)</f>
        <v>#VALUE!</v>
      </c>
    </row>
    <row r="51" spans="1:28" x14ac:dyDescent="0.35">
      <c r="A51" s="327"/>
      <c r="B51" s="330"/>
      <c r="C51" s="227"/>
      <c r="D51" s="227"/>
      <c r="E51" s="227"/>
      <c r="F51" s="310"/>
      <c r="G51" s="388"/>
      <c r="H51" s="228"/>
      <c r="I51"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1" s="34" t="str">
        <f>IFERROR(IF(Table1[[#This Row],[Per (Year /Hr)]]="year","",$J$6*Table1[[#This Row],[Cohort wage (includes BH for hrly staff)]]),"")</f>
        <v/>
      </c>
      <c r="K51" s="185">
        <f>IFERROR(IF(Table1[[#This Row],[Per (Year /Hr)]]="year",Table1[[#This Row],[Cohort wage (includes BH for hrly staff)]],Table1[[#This Row],[Cohort wage (includes BH for hrly staff)]]+Table1[[#This Row],[Hrly staff AL accrual]]),0)</f>
        <v>0</v>
      </c>
      <c r="L51" s="144" t="e">
        <f>((Table1[[#This Row],[Combined hrs per week]]/Table1[[#This Row],['# FTE staff in role]])*($J$3/7))</f>
        <v>#DIV/0!</v>
      </c>
      <c r="M51" s="145" t="e">
        <f>Table1[[#This Row],[Total Wage]]/Table1[[#This Row],['# FTE staff in role]]</f>
        <v>#DIV/0!</v>
      </c>
      <c r="N51" s="145" t="e">
        <f>IF(ISBLANK(Table1[[#This Row],['# FTE staff in role]]),Table1[[#This Row],[Total Wage]]/(Table1[[#This Row],[Combined hrs per week]]*($J$3/7)),(Table1[[#This Row],[an. Wage Per FTE]]/Table1[[#This Row],[an. hrs per fte]]/24))</f>
        <v>#DIV/0!</v>
      </c>
      <c r="O51" s="327" t="str">
        <f>IF(ISBLANK(Table1[[#This Row],[Role]]),"",Table1[[#This Row],[Role]])</f>
        <v/>
      </c>
      <c r="P51" s="309" t="str">
        <f>IF(ISBLANK(Table1[[#This Row],[Role type]]),"",Table1[[#This Row],[Role type]])</f>
        <v/>
      </c>
      <c r="Q51" s="331" t="str">
        <f>IF(ISBLANK(Table1[[#This Row],[Rate]]),"",Table1[[#This Row],[Rate]])</f>
        <v/>
      </c>
      <c r="R51" s="331" t="str">
        <f>IF(ISBLANK(Table1[[#This Row],[Hrly Staff only Bank Hol hrly rate 1]]),"",Table1[[#This Row],[Hrly Staff only Bank Hol hrly rate 1]])</f>
        <v/>
      </c>
      <c r="S51" s="331">
        <f>IF(ISBLANK(Table1[[#This Row],[Hrly Staff only Bank Hol hrly rate 2]]),0,Table1[[#This Row],[Hrly Staff only Bank Hol hrly rate 2]])</f>
        <v>0</v>
      </c>
      <c r="T51" s="331" t="str">
        <f>IF(ISBLANK(Table1[[#This Row],[Per (Year /Hr)]]),"",Table1[[#This Row],[Per (Year /Hr)]])</f>
        <v/>
      </c>
      <c r="U51" s="455" t="str">
        <f>IF(ISBLANK(Table1[[#This Row],['# FTE staff in role]]),"",Table1[[#This Row],['# FTE staff in role]])</f>
        <v/>
      </c>
      <c r="V51" s="317" t="str">
        <f>IF(ISBLANK(Table1[[#This Row],[Combined hrs per week]]),"",Table1[[#This Row],[Combined hrs per week]])</f>
        <v/>
      </c>
      <c r="W51"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1" s="34" t="str">
        <f>IFERROR(IF(Table14[[#This Row],[Per]]="year","",$X$6*Table14[[#This Row],[Cohort Wage (includes BH for hrly rate staff)]]),"")</f>
        <v/>
      </c>
      <c r="Y51" s="35">
        <f>IFERROR(IF(Table14[[#This Row],[Per]]="year",Table14[[#This Row],[Cohort Wage (includes BH for hrly rate staff)]],Table14[[#This Row],[Cohort Wage (includes BH for hrly rate staff)]]+Table14[[#This Row],[Hrly staff AL accrual]]),0)</f>
        <v>0</v>
      </c>
      <c r="Z51" s="70" t="e">
        <f>((Table14[Revised Combined hrs per week]/Table14[Revised '# Staff in role])*($X$3/7))</f>
        <v>#VALUE!</v>
      </c>
      <c r="AA51" s="70" t="e">
        <f>Table14[[#This Row],[Total Wage]]/Table14[Revised '# Staff in role]</f>
        <v>#VALUE!</v>
      </c>
      <c r="AB51" s="70" t="e">
        <f>(Table14[[#This Row],[an wg per fte]]/Table14[[#This Row],[an hrs per fte]]/24)</f>
        <v>#VALUE!</v>
      </c>
    </row>
    <row r="52" spans="1:28" x14ac:dyDescent="0.35">
      <c r="A52" s="327"/>
      <c r="B52" s="330"/>
      <c r="C52" s="227"/>
      <c r="D52" s="227"/>
      <c r="E52" s="227"/>
      <c r="F52" s="310"/>
      <c r="G52" s="388"/>
      <c r="H52" s="228"/>
      <c r="I52"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2" s="34" t="str">
        <f>IFERROR(IF(Table1[[#This Row],[Per (Year /Hr)]]="year","",$J$6*Table1[[#This Row],[Cohort wage (includes BH for hrly staff)]]),"")</f>
        <v/>
      </c>
      <c r="K52" s="185">
        <f>IFERROR(IF(Table1[[#This Row],[Per (Year /Hr)]]="year",Table1[[#This Row],[Cohort wage (includes BH for hrly staff)]],Table1[[#This Row],[Cohort wage (includes BH for hrly staff)]]+Table1[[#This Row],[Hrly staff AL accrual]]),0)</f>
        <v>0</v>
      </c>
      <c r="L52" s="144" t="e">
        <f>((Table1[[#This Row],[Combined hrs per week]]/Table1[[#This Row],['# FTE staff in role]])*($J$3/7))</f>
        <v>#DIV/0!</v>
      </c>
      <c r="M52" s="145" t="e">
        <f>Table1[[#This Row],[Total Wage]]/Table1[[#This Row],['# FTE staff in role]]</f>
        <v>#DIV/0!</v>
      </c>
      <c r="N52" s="145" t="e">
        <f>IF(ISBLANK(Table1[[#This Row],['# FTE staff in role]]),Table1[[#This Row],[Total Wage]]/(Table1[[#This Row],[Combined hrs per week]]*($J$3/7)),(Table1[[#This Row],[an. Wage Per FTE]]/Table1[[#This Row],[an. hrs per fte]]/24))</f>
        <v>#DIV/0!</v>
      </c>
      <c r="O52" s="327" t="str">
        <f>IF(ISBLANK(Table1[[#This Row],[Role]]),"",Table1[[#This Row],[Role]])</f>
        <v/>
      </c>
      <c r="P52" s="309" t="str">
        <f>IF(ISBLANK(Table1[[#This Row],[Role type]]),"",Table1[[#This Row],[Role type]])</f>
        <v/>
      </c>
      <c r="Q52" s="331" t="str">
        <f>IF(ISBLANK(Table1[[#This Row],[Rate]]),"",Table1[[#This Row],[Rate]])</f>
        <v/>
      </c>
      <c r="R52" s="331" t="str">
        <f>IF(ISBLANK(Table1[[#This Row],[Hrly Staff only Bank Hol hrly rate 1]]),"",Table1[[#This Row],[Hrly Staff only Bank Hol hrly rate 1]])</f>
        <v/>
      </c>
      <c r="S52" s="331">
        <f>IF(ISBLANK(Table1[[#This Row],[Hrly Staff only Bank Hol hrly rate 2]]),0,Table1[[#This Row],[Hrly Staff only Bank Hol hrly rate 2]])</f>
        <v>0</v>
      </c>
      <c r="T52" s="331" t="str">
        <f>IF(ISBLANK(Table1[[#This Row],[Per (Year /Hr)]]),"",Table1[[#This Row],[Per (Year /Hr)]])</f>
        <v/>
      </c>
      <c r="U52" s="455" t="str">
        <f>IF(ISBLANK(Table1[[#This Row],['# FTE staff in role]]),"",Table1[[#This Row],['# FTE staff in role]])</f>
        <v/>
      </c>
      <c r="V52" s="317" t="str">
        <f>IF(ISBLANK(Table1[[#This Row],[Combined hrs per week]]),"",Table1[[#This Row],[Combined hrs per week]])</f>
        <v/>
      </c>
      <c r="W52"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2" s="34" t="str">
        <f>IFERROR(IF(Table14[[#This Row],[Per]]="year","",$X$6*Table14[[#This Row],[Cohort Wage (includes BH for hrly rate staff)]]),"")</f>
        <v/>
      </c>
      <c r="Y52" s="35">
        <f>IFERROR(IF(Table14[[#This Row],[Per]]="year",Table14[[#This Row],[Cohort Wage (includes BH for hrly rate staff)]],Table14[[#This Row],[Cohort Wage (includes BH for hrly rate staff)]]+Table14[[#This Row],[Hrly staff AL accrual]]),0)</f>
        <v>0</v>
      </c>
      <c r="Z52" s="70" t="e">
        <f>((Table14[Revised Combined hrs per week]/Table14[Revised '# Staff in role])*($X$3/7))</f>
        <v>#VALUE!</v>
      </c>
      <c r="AA52" s="70" t="e">
        <f>Table14[[#This Row],[Total Wage]]/Table14[Revised '# Staff in role]</f>
        <v>#VALUE!</v>
      </c>
      <c r="AB52" s="70" t="e">
        <f>(Table14[[#This Row],[an wg per fte]]/Table14[[#This Row],[an hrs per fte]]/24)</f>
        <v>#VALUE!</v>
      </c>
    </row>
    <row r="53" spans="1:28" x14ac:dyDescent="0.35">
      <c r="A53" s="327"/>
      <c r="B53" s="330"/>
      <c r="C53" s="227"/>
      <c r="D53" s="227"/>
      <c r="E53" s="227"/>
      <c r="F53" s="310"/>
      <c r="G53" s="388"/>
      <c r="H53" s="228"/>
      <c r="I53"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3" s="34" t="str">
        <f>IFERROR(IF(Table1[[#This Row],[Per (Year /Hr)]]="year","",$J$6*Table1[[#This Row],[Cohort wage (includes BH for hrly staff)]]),"")</f>
        <v/>
      </c>
      <c r="K53" s="185">
        <f>IFERROR(IF(Table1[[#This Row],[Per (Year /Hr)]]="year",Table1[[#This Row],[Cohort wage (includes BH for hrly staff)]],Table1[[#This Row],[Cohort wage (includes BH for hrly staff)]]+Table1[[#This Row],[Hrly staff AL accrual]]),0)</f>
        <v>0</v>
      </c>
      <c r="L53" s="144" t="e">
        <f>((Table1[[#This Row],[Combined hrs per week]]/Table1[[#This Row],['# FTE staff in role]])*($J$3/7))</f>
        <v>#DIV/0!</v>
      </c>
      <c r="M53" s="145" t="e">
        <f>Table1[[#This Row],[Total Wage]]/Table1[[#This Row],['# FTE staff in role]]</f>
        <v>#DIV/0!</v>
      </c>
      <c r="N53" s="145" t="e">
        <f>IF(ISBLANK(Table1[[#This Row],['# FTE staff in role]]),Table1[[#This Row],[Total Wage]]/(Table1[[#This Row],[Combined hrs per week]]*($J$3/7)),(Table1[[#This Row],[an. Wage Per FTE]]/Table1[[#This Row],[an. hrs per fte]]/24))</f>
        <v>#DIV/0!</v>
      </c>
      <c r="O53" s="327" t="str">
        <f>IF(ISBLANK(Table1[[#This Row],[Role]]),"",Table1[[#This Row],[Role]])</f>
        <v/>
      </c>
      <c r="P53" s="309" t="str">
        <f>IF(ISBLANK(Table1[[#This Row],[Role type]]),"",Table1[[#This Row],[Role type]])</f>
        <v/>
      </c>
      <c r="Q53" s="331" t="str">
        <f>IF(ISBLANK(Table1[[#This Row],[Rate]]),"",Table1[[#This Row],[Rate]])</f>
        <v/>
      </c>
      <c r="R53" s="331" t="str">
        <f>IF(ISBLANK(Table1[[#This Row],[Hrly Staff only Bank Hol hrly rate 1]]),"",Table1[[#This Row],[Hrly Staff only Bank Hol hrly rate 1]])</f>
        <v/>
      </c>
      <c r="S53" s="331">
        <f>IF(ISBLANK(Table1[[#This Row],[Hrly Staff only Bank Hol hrly rate 2]]),0,Table1[[#This Row],[Hrly Staff only Bank Hol hrly rate 2]])</f>
        <v>0</v>
      </c>
      <c r="T53" s="331" t="str">
        <f>IF(ISBLANK(Table1[[#This Row],[Per (Year /Hr)]]),"",Table1[[#This Row],[Per (Year /Hr)]])</f>
        <v/>
      </c>
      <c r="U53" s="455" t="str">
        <f>IF(ISBLANK(Table1[[#This Row],['# FTE staff in role]]),"",Table1[[#This Row],['# FTE staff in role]])</f>
        <v/>
      </c>
      <c r="V53" s="317" t="str">
        <f>IF(ISBLANK(Table1[[#This Row],[Combined hrs per week]]),"",Table1[[#This Row],[Combined hrs per week]])</f>
        <v/>
      </c>
      <c r="W53"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3" s="34" t="str">
        <f>IFERROR(IF(Table14[[#This Row],[Per]]="year","",$X$6*Table14[[#This Row],[Cohort Wage (includes BH for hrly rate staff)]]),"")</f>
        <v/>
      </c>
      <c r="Y53" s="35">
        <f>IFERROR(IF(Table14[[#This Row],[Per]]="year",Table14[[#This Row],[Cohort Wage (includes BH for hrly rate staff)]],Table14[[#This Row],[Cohort Wage (includes BH for hrly rate staff)]]+Table14[[#This Row],[Hrly staff AL accrual]]),0)</f>
        <v>0</v>
      </c>
      <c r="Z53" s="70" t="e">
        <f>((Table14[Revised Combined hrs per week]/Table14[Revised '# Staff in role])*($X$3/7))</f>
        <v>#VALUE!</v>
      </c>
      <c r="AA53" s="70" t="e">
        <f>Table14[[#This Row],[Total Wage]]/Table14[Revised '# Staff in role]</f>
        <v>#VALUE!</v>
      </c>
      <c r="AB53" s="70" t="e">
        <f>(Table14[[#This Row],[an wg per fte]]/Table14[[#This Row],[an hrs per fte]]/24)</f>
        <v>#VALUE!</v>
      </c>
    </row>
    <row r="54" spans="1:28" x14ac:dyDescent="0.35">
      <c r="A54" s="327"/>
      <c r="B54" s="330"/>
      <c r="C54" s="227"/>
      <c r="D54" s="227"/>
      <c r="E54" s="227"/>
      <c r="F54" s="310"/>
      <c r="G54" s="388"/>
      <c r="H54" s="228"/>
      <c r="I54"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4" s="34" t="str">
        <f>IFERROR(IF(Table1[[#This Row],[Per (Year /Hr)]]="year","",$J$6*Table1[[#This Row],[Cohort wage (includes BH for hrly staff)]]),"")</f>
        <v/>
      </c>
      <c r="K54" s="185">
        <f>IFERROR(IF(Table1[[#This Row],[Per (Year /Hr)]]="year",Table1[[#This Row],[Cohort wage (includes BH for hrly staff)]],Table1[[#This Row],[Cohort wage (includes BH for hrly staff)]]+Table1[[#This Row],[Hrly staff AL accrual]]),0)</f>
        <v>0</v>
      </c>
      <c r="L54" s="144" t="e">
        <f>((Table1[[#This Row],[Combined hrs per week]]/Table1[[#This Row],['# FTE staff in role]])*($J$3/7))</f>
        <v>#DIV/0!</v>
      </c>
      <c r="M54" s="145" t="e">
        <f>Table1[[#This Row],[Total Wage]]/Table1[[#This Row],['# FTE staff in role]]</f>
        <v>#DIV/0!</v>
      </c>
      <c r="N54" s="145" t="e">
        <f>IF(ISBLANK(Table1[[#This Row],['# FTE staff in role]]),Table1[[#This Row],[Total Wage]]/(Table1[[#This Row],[Combined hrs per week]]*($J$3/7)),(Table1[[#This Row],[an. Wage Per FTE]]/Table1[[#This Row],[an. hrs per fte]]/24))</f>
        <v>#DIV/0!</v>
      </c>
      <c r="O54" s="327" t="str">
        <f>IF(ISBLANK(Table1[[#This Row],[Role]]),"",Table1[[#This Row],[Role]])</f>
        <v/>
      </c>
      <c r="P54" s="309" t="str">
        <f>IF(ISBLANK(Table1[[#This Row],[Role type]]),"",Table1[[#This Row],[Role type]])</f>
        <v/>
      </c>
      <c r="Q54" s="331" t="str">
        <f>IF(ISBLANK(Table1[[#This Row],[Rate]]),"",Table1[[#This Row],[Rate]])</f>
        <v/>
      </c>
      <c r="R54" s="331" t="str">
        <f>IF(ISBLANK(Table1[[#This Row],[Hrly Staff only Bank Hol hrly rate 1]]),"",Table1[[#This Row],[Hrly Staff only Bank Hol hrly rate 1]])</f>
        <v/>
      </c>
      <c r="S54" s="331">
        <f>IF(ISBLANK(Table1[[#This Row],[Hrly Staff only Bank Hol hrly rate 2]]),0,Table1[[#This Row],[Hrly Staff only Bank Hol hrly rate 2]])</f>
        <v>0</v>
      </c>
      <c r="T54" s="331" t="str">
        <f>IF(ISBLANK(Table1[[#This Row],[Per (Year /Hr)]]),"",Table1[[#This Row],[Per (Year /Hr)]])</f>
        <v/>
      </c>
      <c r="U54" s="455" t="str">
        <f>IF(ISBLANK(Table1[[#This Row],['# FTE staff in role]]),"",Table1[[#This Row],['# FTE staff in role]])</f>
        <v/>
      </c>
      <c r="V54" s="317" t="str">
        <f>IF(ISBLANK(Table1[[#This Row],[Combined hrs per week]]),"",Table1[[#This Row],[Combined hrs per week]])</f>
        <v/>
      </c>
      <c r="W54"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4" s="34" t="str">
        <f>IFERROR(IF(Table14[[#This Row],[Per]]="year","",$X$6*Table14[[#This Row],[Cohort Wage (includes BH for hrly rate staff)]]),"")</f>
        <v/>
      </c>
      <c r="Y54" s="35">
        <f>IFERROR(IF(Table14[[#This Row],[Per]]="year",Table14[[#This Row],[Cohort Wage (includes BH for hrly rate staff)]],Table14[[#This Row],[Cohort Wage (includes BH for hrly rate staff)]]+Table14[[#This Row],[Hrly staff AL accrual]]),0)</f>
        <v>0</v>
      </c>
      <c r="Z54" s="70" t="e">
        <f>((Table14[Revised Combined hrs per week]/Table14[Revised '# Staff in role])*($X$3/7))</f>
        <v>#VALUE!</v>
      </c>
      <c r="AA54" s="70" t="e">
        <f>Table14[[#This Row],[Total Wage]]/Table14[Revised '# Staff in role]</f>
        <v>#VALUE!</v>
      </c>
      <c r="AB54" s="70" t="e">
        <f>(Table14[[#This Row],[an wg per fte]]/Table14[[#This Row],[an hrs per fte]]/24)</f>
        <v>#VALUE!</v>
      </c>
    </row>
    <row r="55" spans="1:28" x14ac:dyDescent="0.35">
      <c r="A55" s="327"/>
      <c r="B55" s="330"/>
      <c r="C55" s="227"/>
      <c r="D55" s="227"/>
      <c r="E55" s="227"/>
      <c r="F55" s="310"/>
      <c r="G55" s="388"/>
      <c r="H55" s="228"/>
      <c r="I55"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5" s="34" t="str">
        <f>IFERROR(IF(Table1[[#This Row],[Per (Year /Hr)]]="year","",$J$6*Table1[[#This Row],[Cohort wage (includes BH for hrly staff)]]),"")</f>
        <v/>
      </c>
      <c r="K55" s="185">
        <f>IFERROR(IF(Table1[[#This Row],[Per (Year /Hr)]]="year",Table1[[#This Row],[Cohort wage (includes BH for hrly staff)]],Table1[[#This Row],[Cohort wage (includes BH for hrly staff)]]+Table1[[#This Row],[Hrly staff AL accrual]]),0)</f>
        <v>0</v>
      </c>
      <c r="L55" s="144" t="e">
        <f>((Table1[[#This Row],[Combined hrs per week]]/Table1[[#This Row],['# FTE staff in role]])*($J$3/7))</f>
        <v>#DIV/0!</v>
      </c>
      <c r="M55" s="145" t="e">
        <f>Table1[[#This Row],[Total Wage]]/Table1[[#This Row],['# FTE staff in role]]</f>
        <v>#DIV/0!</v>
      </c>
      <c r="N55" s="145" t="e">
        <f>IF(ISBLANK(Table1[[#This Row],['# FTE staff in role]]),Table1[[#This Row],[Total Wage]]/(Table1[[#This Row],[Combined hrs per week]]*($J$3/7)),(Table1[[#This Row],[an. Wage Per FTE]]/Table1[[#This Row],[an. hrs per fte]]/24))</f>
        <v>#DIV/0!</v>
      </c>
      <c r="O55" s="327" t="str">
        <f>IF(ISBLANK(Table1[[#This Row],[Role]]),"",Table1[[#This Row],[Role]])</f>
        <v/>
      </c>
      <c r="P55" s="309" t="str">
        <f>IF(ISBLANK(Table1[[#This Row],[Role type]]),"",Table1[[#This Row],[Role type]])</f>
        <v/>
      </c>
      <c r="Q55" s="331" t="str">
        <f>IF(ISBLANK(Table1[[#This Row],[Rate]]),"",Table1[[#This Row],[Rate]])</f>
        <v/>
      </c>
      <c r="R55" s="331" t="str">
        <f>IF(ISBLANK(Table1[[#This Row],[Hrly Staff only Bank Hol hrly rate 1]]),"",Table1[[#This Row],[Hrly Staff only Bank Hol hrly rate 1]])</f>
        <v/>
      </c>
      <c r="S55" s="331">
        <f>IF(ISBLANK(Table1[[#This Row],[Hrly Staff only Bank Hol hrly rate 2]]),0,Table1[[#This Row],[Hrly Staff only Bank Hol hrly rate 2]])</f>
        <v>0</v>
      </c>
      <c r="T55" s="331" t="str">
        <f>IF(ISBLANK(Table1[[#This Row],[Per (Year /Hr)]]),"",Table1[[#This Row],[Per (Year /Hr)]])</f>
        <v/>
      </c>
      <c r="U55" s="455" t="str">
        <f>IF(ISBLANK(Table1[[#This Row],['# FTE staff in role]]),"",Table1[[#This Row],['# FTE staff in role]])</f>
        <v/>
      </c>
      <c r="V55" s="317" t="str">
        <f>IF(ISBLANK(Table1[[#This Row],[Combined hrs per week]]),"",Table1[[#This Row],[Combined hrs per week]])</f>
        <v/>
      </c>
      <c r="W55"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5" s="34" t="str">
        <f>IFERROR(IF(Table14[[#This Row],[Per]]="year","",$X$6*Table14[[#This Row],[Cohort Wage (includes BH for hrly rate staff)]]),"")</f>
        <v/>
      </c>
      <c r="Y55" s="35">
        <f>IFERROR(IF(Table14[[#This Row],[Per]]="year",Table14[[#This Row],[Cohort Wage (includes BH for hrly rate staff)]],Table14[[#This Row],[Cohort Wage (includes BH for hrly rate staff)]]+Table14[[#This Row],[Hrly staff AL accrual]]),0)</f>
        <v>0</v>
      </c>
      <c r="Z55" s="70" t="e">
        <f>((Table14[Revised Combined hrs per week]/Table14[Revised '# Staff in role])*($X$3/7))</f>
        <v>#VALUE!</v>
      </c>
      <c r="AA55" s="70" t="e">
        <f>Table14[[#This Row],[Total Wage]]/Table14[Revised '# Staff in role]</f>
        <v>#VALUE!</v>
      </c>
      <c r="AB55" s="70" t="e">
        <f>(Table14[[#This Row],[an wg per fte]]/Table14[[#This Row],[an hrs per fte]]/24)</f>
        <v>#VALUE!</v>
      </c>
    </row>
    <row r="56" spans="1:28" x14ac:dyDescent="0.35">
      <c r="A56" s="327"/>
      <c r="B56" s="330"/>
      <c r="C56" s="227"/>
      <c r="D56" s="227"/>
      <c r="E56" s="227"/>
      <c r="F56" s="310"/>
      <c r="G56" s="388"/>
      <c r="H56" s="228"/>
      <c r="I56"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6" s="34" t="str">
        <f>IFERROR(IF(Table1[[#This Row],[Per (Year /Hr)]]="year","",$J$6*Table1[[#This Row],[Cohort wage (includes BH for hrly staff)]]),"")</f>
        <v/>
      </c>
      <c r="K56" s="185">
        <f>IFERROR(IF(Table1[[#This Row],[Per (Year /Hr)]]="year",Table1[[#This Row],[Cohort wage (includes BH for hrly staff)]],Table1[[#This Row],[Cohort wage (includes BH for hrly staff)]]+Table1[[#This Row],[Hrly staff AL accrual]]),0)</f>
        <v>0</v>
      </c>
      <c r="L56" s="144" t="e">
        <f>((Table1[[#This Row],[Combined hrs per week]]/Table1[[#This Row],['# FTE staff in role]])*($J$3/7))</f>
        <v>#DIV/0!</v>
      </c>
      <c r="M56" s="145" t="e">
        <f>Table1[[#This Row],[Total Wage]]/Table1[[#This Row],['# FTE staff in role]]</f>
        <v>#DIV/0!</v>
      </c>
      <c r="N56" s="145" t="e">
        <f>IF(ISBLANK(Table1[[#This Row],['# FTE staff in role]]),Table1[[#This Row],[Total Wage]]/(Table1[[#This Row],[Combined hrs per week]]*($J$3/7)),(Table1[[#This Row],[an. Wage Per FTE]]/Table1[[#This Row],[an. hrs per fte]]/24))</f>
        <v>#DIV/0!</v>
      </c>
      <c r="O56" s="327" t="str">
        <f>IF(ISBLANK(Table1[[#This Row],[Role]]),"",Table1[[#This Row],[Role]])</f>
        <v/>
      </c>
      <c r="P56" s="309" t="str">
        <f>IF(ISBLANK(Table1[[#This Row],[Role type]]),"",Table1[[#This Row],[Role type]])</f>
        <v/>
      </c>
      <c r="Q56" s="331" t="str">
        <f>IF(ISBLANK(Table1[[#This Row],[Rate]]),"",Table1[[#This Row],[Rate]])</f>
        <v/>
      </c>
      <c r="R56" s="331" t="str">
        <f>IF(ISBLANK(Table1[[#This Row],[Hrly Staff only Bank Hol hrly rate 1]]),"",Table1[[#This Row],[Hrly Staff only Bank Hol hrly rate 1]])</f>
        <v/>
      </c>
      <c r="S56" s="331">
        <f>IF(ISBLANK(Table1[[#This Row],[Hrly Staff only Bank Hol hrly rate 2]]),0,Table1[[#This Row],[Hrly Staff only Bank Hol hrly rate 2]])</f>
        <v>0</v>
      </c>
      <c r="T56" s="331" t="str">
        <f>IF(ISBLANK(Table1[[#This Row],[Per (Year /Hr)]]),"",Table1[[#This Row],[Per (Year /Hr)]])</f>
        <v/>
      </c>
      <c r="U56" s="455" t="str">
        <f>IF(ISBLANK(Table1[[#This Row],['# FTE staff in role]]),"",Table1[[#This Row],['# FTE staff in role]])</f>
        <v/>
      </c>
      <c r="V56" s="317" t="str">
        <f>IF(ISBLANK(Table1[[#This Row],[Combined hrs per week]]),"",Table1[[#This Row],[Combined hrs per week]])</f>
        <v/>
      </c>
      <c r="W56"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6" s="34" t="str">
        <f>IFERROR(IF(Table14[[#This Row],[Per]]="year","",$X$6*Table14[[#This Row],[Cohort Wage (includes BH for hrly rate staff)]]),"")</f>
        <v/>
      </c>
      <c r="Y56" s="35">
        <f>IFERROR(IF(Table14[[#This Row],[Per]]="year",Table14[[#This Row],[Cohort Wage (includes BH for hrly rate staff)]],Table14[[#This Row],[Cohort Wage (includes BH for hrly rate staff)]]+Table14[[#This Row],[Hrly staff AL accrual]]),0)</f>
        <v>0</v>
      </c>
      <c r="Z56" s="70" t="e">
        <f>((Table14[Revised Combined hrs per week]/Table14[Revised '# Staff in role])*($X$3/7))</f>
        <v>#VALUE!</v>
      </c>
      <c r="AA56" s="70" t="e">
        <f>Table14[[#This Row],[Total Wage]]/Table14[Revised '# Staff in role]</f>
        <v>#VALUE!</v>
      </c>
      <c r="AB56" s="70" t="e">
        <f>(Table14[[#This Row],[an wg per fte]]/Table14[[#This Row],[an hrs per fte]]/24)</f>
        <v>#VALUE!</v>
      </c>
    </row>
    <row r="57" spans="1:28" x14ac:dyDescent="0.35">
      <c r="A57" s="327"/>
      <c r="B57" s="330"/>
      <c r="C57" s="227"/>
      <c r="D57" s="227"/>
      <c r="E57" s="227"/>
      <c r="F57" s="310"/>
      <c r="G57" s="388"/>
      <c r="H57" s="228"/>
      <c r="I57"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7" s="34" t="str">
        <f>IFERROR(IF(Table1[[#This Row],[Per (Year /Hr)]]="year","",$J$6*Table1[[#This Row],[Cohort wage (includes BH for hrly staff)]]),"")</f>
        <v/>
      </c>
      <c r="K57" s="185">
        <f>IFERROR(IF(Table1[[#This Row],[Per (Year /Hr)]]="year",Table1[[#This Row],[Cohort wage (includes BH for hrly staff)]],Table1[[#This Row],[Cohort wage (includes BH for hrly staff)]]+Table1[[#This Row],[Hrly staff AL accrual]]),0)</f>
        <v>0</v>
      </c>
      <c r="L57" s="144" t="e">
        <f>((Table1[[#This Row],[Combined hrs per week]]/Table1[[#This Row],['# FTE staff in role]])*($J$3/7))</f>
        <v>#DIV/0!</v>
      </c>
      <c r="M57" s="145" t="e">
        <f>Table1[[#This Row],[Total Wage]]/Table1[[#This Row],['# FTE staff in role]]</f>
        <v>#DIV/0!</v>
      </c>
      <c r="N57" s="145" t="e">
        <f>IF(ISBLANK(Table1[[#This Row],['# FTE staff in role]]),Table1[[#This Row],[Total Wage]]/(Table1[[#This Row],[Combined hrs per week]]*($J$3/7)),(Table1[[#This Row],[an. Wage Per FTE]]/Table1[[#This Row],[an. hrs per fte]]/24))</f>
        <v>#DIV/0!</v>
      </c>
      <c r="O57" s="327" t="str">
        <f>IF(ISBLANK(Table1[[#This Row],[Role]]),"",Table1[[#This Row],[Role]])</f>
        <v/>
      </c>
      <c r="P57" s="309" t="str">
        <f>IF(ISBLANK(Table1[[#This Row],[Role type]]),"",Table1[[#This Row],[Role type]])</f>
        <v/>
      </c>
      <c r="Q57" s="331" t="str">
        <f>IF(ISBLANK(Table1[[#This Row],[Rate]]),"",Table1[[#This Row],[Rate]])</f>
        <v/>
      </c>
      <c r="R57" s="331" t="str">
        <f>IF(ISBLANK(Table1[[#This Row],[Hrly Staff only Bank Hol hrly rate 1]]),"",Table1[[#This Row],[Hrly Staff only Bank Hol hrly rate 1]])</f>
        <v/>
      </c>
      <c r="S57" s="331">
        <f>IF(ISBLANK(Table1[[#This Row],[Hrly Staff only Bank Hol hrly rate 2]]),0,Table1[[#This Row],[Hrly Staff only Bank Hol hrly rate 2]])</f>
        <v>0</v>
      </c>
      <c r="T57" s="331" t="str">
        <f>IF(ISBLANK(Table1[[#This Row],[Per (Year /Hr)]]),"",Table1[[#This Row],[Per (Year /Hr)]])</f>
        <v/>
      </c>
      <c r="U57" s="455" t="str">
        <f>IF(ISBLANK(Table1[[#This Row],['# FTE staff in role]]),"",Table1[[#This Row],['# FTE staff in role]])</f>
        <v/>
      </c>
      <c r="V57" s="317" t="str">
        <f>IF(ISBLANK(Table1[[#This Row],[Combined hrs per week]]),"",Table1[[#This Row],[Combined hrs per week]])</f>
        <v/>
      </c>
      <c r="W57"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7" s="34" t="str">
        <f>IFERROR(IF(Table14[[#This Row],[Per]]="year","",$X$6*Table14[[#This Row],[Cohort Wage (includes BH for hrly rate staff)]]),"")</f>
        <v/>
      </c>
      <c r="Y57" s="35">
        <f>IFERROR(IF(Table14[[#This Row],[Per]]="year",Table14[[#This Row],[Cohort Wage (includes BH for hrly rate staff)]],Table14[[#This Row],[Cohort Wage (includes BH for hrly rate staff)]]+Table14[[#This Row],[Hrly staff AL accrual]]),0)</f>
        <v>0</v>
      </c>
      <c r="Z57" s="70" t="e">
        <f>((Table14[Revised Combined hrs per week]/Table14[Revised '# Staff in role])*($X$3/7))</f>
        <v>#VALUE!</v>
      </c>
      <c r="AA57" s="70" t="e">
        <f>Table14[[#This Row],[Total Wage]]/Table14[Revised '# Staff in role]</f>
        <v>#VALUE!</v>
      </c>
      <c r="AB57" s="70" t="e">
        <f>(Table14[[#This Row],[an wg per fte]]/Table14[[#This Row],[an hrs per fte]]/24)</f>
        <v>#VALUE!</v>
      </c>
    </row>
    <row r="58" spans="1:28" x14ac:dyDescent="0.35">
      <c r="A58" s="327"/>
      <c r="B58" s="330"/>
      <c r="C58" s="227"/>
      <c r="D58" s="227"/>
      <c r="E58" s="227"/>
      <c r="F58" s="310"/>
      <c r="G58" s="388"/>
      <c r="H58" s="228"/>
      <c r="I58"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8" s="34" t="str">
        <f>IFERROR(IF(Table1[[#This Row],[Per (Year /Hr)]]="year","",$J$6*Table1[[#This Row],[Cohort wage (includes BH for hrly staff)]]),"")</f>
        <v/>
      </c>
      <c r="K58" s="185">
        <f>IFERROR(IF(Table1[[#This Row],[Per (Year /Hr)]]="year",Table1[[#This Row],[Cohort wage (includes BH for hrly staff)]],Table1[[#This Row],[Cohort wage (includes BH for hrly staff)]]+Table1[[#This Row],[Hrly staff AL accrual]]),0)</f>
        <v>0</v>
      </c>
      <c r="L58" s="144" t="e">
        <f>((Table1[[#This Row],[Combined hrs per week]]/Table1[[#This Row],['# FTE staff in role]])*($J$3/7))</f>
        <v>#DIV/0!</v>
      </c>
      <c r="M58" s="145" t="e">
        <f>Table1[[#This Row],[Total Wage]]/Table1[[#This Row],['# FTE staff in role]]</f>
        <v>#DIV/0!</v>
      </c>
      <c r="N58" s="145" t="e">
        <f>IF(ISBLANK(Table1[[#This Row],['# FTE staff in role]]),Table1[[#This Row],[Total Wage]]/(Table1[[#This Row],[Combined hrs per week]]*($J$3/7)),(Table1[[#This Row],[an. Wage Per FTE]]/Table1[[#This Row],[an. hrs per fte]]/24))</f>
        <v>#DIV/0!</v>
      </c>
      <c r="O58" s="327" t="str">
        <f>IF(ISBLANK(Table1[[#This Row],[Role]]),"",Table1[[#This Row],[Role]])</f>
        <v/>
      </c>
      <c r="P58" s="309" t="str">
        <f>IF(ISBLANK(Table1[[#This Row],[Role type]]),"",Table1[[#This Row],[Role type]])</f>
        <v/>
      </c>
      <c r="Q58" s="331" t="str">
        <f>IF(ISBLANK(Table1[[#This Row],[Rate]]),"",Table1[[#This Row],[Rate]])</f>
        <v/>
      </c>
      <c r="R58" s="331" t="str">
        <f>IF(ISBLANK(Table1[[#This Row],[Hrly Staff only Bank Hol hrly rate 1]]),"",Table1[[#This Row],[Hrly Staff only Bank Hol hrly rate 1]])</f>
        <v/>
      </c>
      <c r="S58" s="331">
        <f>IF(ISBLANK(Table1[[#This Row],[Hrly Staff only Bank Hol hrly rate 2]]),0,Table1[[#This Row],[Hrly Staff only Bank Hol hrly rate 2]])</f>
        <v>0</v>
      </c>
      <c r="T58" s="331" t="str">
        <f>IF(ISBLANK(Table1[[#This Row],[Per (Year /Hr)]]),"",Table1[[#This Row],[Per (Year /Hr)]])</f>
        <v/>
      </c>
      <c r="U58" s="455" t="str">
        <f>IF(ISBLANK(Table1[[#This Row],['# FTE staff in role]]),"",Table1[[#This Row],['# FTE staff in role]])</f>
        <v/>
      </c>
      <c r="V58" s="317" t="str">
        <f>IF(ISBLANK(Table1[[#This Row],[Combined hrs per week]]),"",Table1[[#This Row],[Combined hrs per week]])</f>
        <v/>
      </c>
      <c r="W58"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8" s="34" t="str">
        <f>IFERROR(IF(Table14[[#This Row],[Per]]="year","",$X$6*Table14[[#This Row],[Cohort Wage (includes BH for hrly rate staff)]]),"")</f>
        <v/>
      </c>
      <c r="Y58" s="35">
        <f>IFERROR(IF(Table14[[#This Row],[Per]]="year",Table14[[#This Row],[Cohort Wage (includes BH for hrly rate staff)]],Table14[[#This Row],[Cohort Wage (includes BH for hrly rate staff)]]+Table14[[#This Row],[Hrly staff AL accrual]]),0)</f>
        <v>0</v>
      </c>
      <c r="Z58" s="70" t="e">
        <f>((Table14[Revised Combined hrs per week]/Table14[Revised '# Staff in role])*($X$3/7))</f>
        <v>#VALUE!</v>
      </c>
      <c r="AA58" s="70" t="e">
        <f>Table14[[#This Row],[Total Wage]]/Table14[Revised '# Staff in role]</f>
        <v>#VALUE!</v>
      </c>
      <c r="AB58" s="70" t="e">
        <f>(Table14[[#This Row],[an wg per fte]]/Table14[[#This Row],[an hrs per fte]]/24)</f>
        <v>#VALUE!</v>
      </c>
    </row>
    <row r="59" spans="1:28" x14ac:dyDescent="0.35">
      <c r="A59" s="327"/>
      <c r="B59" s="330"/>
      <c r="C59" s="227"/>
      <c r="D59" s="227"/>
      <c r="E59" s="227"/>
      <c r="F59" s="310"/>
      <c r="G59" s="388"/>
      <c r="H59" s="228"/>
      <c r="I59"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59" s="34" t="str">
        <f>IFERROR(IF(Table1[[#This Row],[Per (Year /Hr)]]="year","",$J$6*Table1[[#This Row],[Cohort wage (includes BH for hrly staff)]]),"")</f>
        <v/>
      </c>
      <c r="K59" s="185">
        <f>IFERROR(IF(Table1[[#This Row],[Per (Year /Hr)]]="year",Table1[[#This Row],[Cohort wage (includes BH for hrly staff)]],Table1[[#This Row],[Cohort wage (includes BH for hrly staff)]]+Table1[[#This Row],[Hrly staff AL accrual]]),0)</f>
        <v>0</v>
      </c>
      <c r="L59" s="144" t="e">
        <f>((Table1[[#This Row],[Combined hrs per week]]/Table1[[#This Row],['# FTE staff in role]])*($J$3/7))</f>
        <v>#DIV/0!</v>
      </c>
      <c r="M59" s="145" t="e">
        <f>Table1[[#This Row],[Total Wage]]/Table1[[#This Row],['# FTE staff in role]]</f>
        <v>#DIV/0!</v>
      </c>
      <c r="N59" s="145" t="e">
        <f>IF(ISBLANK(Table1[[#This Row],['# FTE staff in role]]),Table1[[#This Row],[Total Wage]]/(Table1[[#This Row],[Combined hrs per week]]*($J$3/7)),(Table1[[#This Row],[an. Wage Per FTE]]/Table1[[#This Row],[an. hrs per fte]]/24))</f>
        <v>#DIV/0!</v>
      </c>
      <c r="O59" s="327" t="str">
        <f>IF(ISBLANK(Table1[[#This Row],[Role]]),"",Table1[[#This Row],[Role]])</f>
        <v/>
      </c>
      <c r="P59" s="309" t="str">
        <f>IF(ISBLANK(Table1[[#This Row],[Role type]]),"",Table1[[#This Row],[Role type]])</f>
        <v/>
      </c>
      <c r="Q59" s="331" t="str">
        <f>IF(ISBLANK(Table1[[#This Row],[Rate]]),"",Table1[[#This Row],[Rate]])</f>
        <v/>
      </c>
      <c r="R59" s="331" t="str">
        <f>IF(ISBLANK(Table1[[#This Row],[Hrly Staff only Bank Hol hrly rate 1]]),"",Table1[[#This Row],[Hrly Staff only Bank Hol hrly rate 1]])</f>
        <v/>
      </c>
      <c r="S59" s="331">
        <f>IF(ISBLANK(Table1[[#This Row],[Hrly Staff only Bank Hol hrly rate 2]]),0,Table1[[#This Row],[Hrly Staff only Bank Hol hrly rate 2]])</f>
        <v>0</v>
      </c>
      <c r="T59" s="331" t="str">
        <f>IF(ISBLANK(Table1[[#This Row],[Per (Year /Hr)]]),"",Table1[[#This Row],[Per (Year /Hr)]])</f>
        <v/>
      </c>
      <c r="U59" s="455" t="str">
        <f>IF(ISBLANK(Table1[[#This Row],['# FTE staff in role]]),"",Table1[[#This Row],['# FTE staff in role]])</f>
        <v/>
      </c>
      <c r="V59" s="317" t="str">
        <f>IF(ISBLANK(Table1[[#This Row],[Combined hrs per week]]),"",Table1[[#This Row],[Combined hrs per week]])</f>
        <v/>
      </c>
      <c r="W59"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59" s="34" t="str">
        <f>IFERROR(IF(Table14[[#This Row],[Per]]="year","",$X$6*Table14[[#This Row],[Cohort Wage (includes BH for hrly rate staff)]]),"")</f>
        <v/>
      </c>
      <c r="Y59" s="35">
        <f>IFERROR(IF(Table14[[#This Row],[Per]]="year",Table14[[#This Row],[Cohort Wage (includes BH for hrly rate staff)]],Table14[[#This Row],[Cohort Wage (includes BH for hrly rate staff)]]+Table14[[#This Row],[Hrly staff AL accrual]]),0)</f>
        <v>0</v>
      </c>
      <c r="Z59" s="70" t="e">
        <f>((Table14[Revised Combined hrs per week]/Table14[Revised '# Staff in role])*($X$3/7))</f>
        <v>#VALUE!</v>
      </c>
      <c r="AA59" s="70" t="e">
        <f>Table14[[#This Row],[Total Wage]]/Table14[Revised '# Staff in role]</f>
        <v>#VALUE!</v>
      </c>
      <c r="AB59" s="70" t="e">
        <f>(Table14[[#This Row],[an wg per fte]]/Table14[[#This Row],[an hrs per fte]]/24)</f>
        <v>#VALUE!</v>
      </c>
    </row>
    <row r="60" spans="1:28" x14ac:dyDescent="0.35">
      <c r="A60" s="327"/>
      <c r="B60" s="330"/>
      <c r="C60" s="227"/>
      <c r="D60" s="227"/>
      <c r="E60" s="227"/>
      <c r="F60" s="310"/>
      <c r="G60" s="388"/>
      <c r="H60" s="228"/>
      <c r="I60"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0" s="34" t="str">
        <f>IFERROR(IF(Table1[[#This Row],[Per (Year /Hr)]]="year","",$J$6*Table1[[#This Row],[Cohort wage (includes BH for hrly staff)]]),"")</f>
        <v/>
      </c>
      <c r="K60" s="185">
        <f>IFERROR(IF(Table1[[#This Row],[Per (Year /Hr)]]="year",Table1[[#This Row],[Cohort wage (includes BH for hrly staff)]],Table1[[#This Row],[Cohort wage (includes BH for hrly staff)]]+Table1[[#This Row],[Hrly staff AL accrual]]),0)</f>
        <v>0</v>
      </c>
      <c r="L60" s="144" t="e">
        <f>((Table1[[#This Row],[Combined hrs per week]]/Table1[[#This Row],['# FTE staff in role]])*($J$3/7))</f>
        <v>#DIV/0!</v>
      </c>
      <c r="M60" s="145" t="e">
        <f>Table1[[#This Row],[Total Wage]]/Table1[[#This Row],['# FTE staff in role]]</f>
        <v>#DIV/0!</v>
      </c>
      <c r="N60" s="145" t="e">
        <f>IF(ISBLANK(Table1[[#This Row],['# FTE staff in role]]),Table1[[#This Row],[Total Wage]]/(Table1[[#This Row],[Combined hrs per week]]*($J$3/7)),(Table1[[#This Row],[an. Wage Per FTE]]/Table1[[#This Row],[an. hrs per fte]]/24))</f>
        <v>#DIV/0!</v>
      </c>
      <c r="O60" s="327" t="str">
        <f>IF(ISBLANK(Table1[[#This Row],[Role]]),"",Table1[[#This Row],[Role]])</f>
        <v/>
      </c>
      <c r="P60" s="309" t="str">
        <f>IF(ISBLANK(Table1[[#This Row],[Role type]]),"",Table1[[#This Row],[Role type]])</f>
        <v/>
      </c>
      <c r="Q60" s="331" t="str">
        <f>IF(ISBLANK(Table1[[#This Row],[Rate]]),"",Table1[[#This Row],[Rate]])</f>
        <v/>
      </c>
      <c r="R60" s="331" t="str">
        <f>IF(ISBLANK(Table1[[#This Row],[Hrly Staff only Bank Hol hrly rate 1]]),"",Table1[[#This Row],[Hrly Staff only Bank Hol hrly rate 1]])</f>
        <v/>
      </c>
      <c r="S60" s="331">
        <f>IF(ISBLANK(Table1[[#This Row],[Hrly Staff only Bank Hol hrly rate 2]]),0,Table1[[#This Row],[Hrly Staff only Bank Hol hrly rate 2]])</f>
        <v>0</v>
      </c>
      <c r="T60" s="331" t="str">
        <f>IF(ISBLANK(Table1[[#This Row],[Per (Year /Hr)]]),"",Table1[[#This Row],[Per (Year /Hr)]])</f>
        <v/>
      </c>
      <c r="U60" s="455" t="str">
        <f>IF(ISBLANK(Table1[[#This Row],['# FTE staff in role]]),"",Table1[[#This Row],['# FTE staff in role]])</f>
        <v/>
      </c>
      <c r="V60" s="317" t="str">
        <f>IF(ISBLANK(Table1[[#This Row],[Combined hrs per week]]),"",Table1[[#This Row],[Combined hrs per week]])</f>
        <v/>
      </c>
      <c r="W60"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0" s="34" t="str">
        <f>IFERROR(IF(Table14[[#This Row],[Per]]="year","",$X$6*Table14[[#This Row],[Cohort Wage (includes BH for hrly rate staff)]]),"")</f>
        <v/>
      </c>
      <c r="Y60" s="35">
        <f>IFERROR(IF(Table14[[#This Row],[Per]]="year",Table14[[#This Row],[Cohort Wage (includes BH for hrly rate staff)]],Table14[[#This Row],[Cohort Wage (includes BH for hrly rate staff)]]+Table14[[#This Row],[Hrly staff AL accrual]]),0)</f>
        <v>0</v>
      </c>
      <c r="Z60" s="70" t="e">
        <f>((Table14[Revised Combined hrs per week]/Table14[Revised '# Staff in role])*($X$3/7))</f>
        <v>#VALUE!</v>
      </c>
      <c r="AA60" s="70" t="e">
        <f>Table14[[#This Row],[Total Wage]]/Table14[Revised '# Staff in role]</f>
        <v>#VALUE!</v>
      </c>
      <c r="AB60" s="70" t="e">
        <f>(Table14[[#This Row],[an wg per fte]]/Table14[[#This Row],[an hrs per fte]]/24)</f>
        <v>#VALUE!</v>
      </c>
    </row>
    <row r="61" spans="1:28" x14ac:dyDescent="0.35">
      <c r="A61" s="327"/>
      <c r="B61" s="330"/>
      <c r="C61" s="227"/>
      <c r="D61" s="227"/>
      <c r="E61" s="227"/>
      <c r="F61" s="310"/>
      <c r="G61" s="388"/>
      <c r="H61" s="228"/>
      <c r="I61"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1" s="34" t="str">
        <f>IFERROR(IF(Table1[[#This Row],[Per (Year /Hr)]]="year","",$J$6*Table1[[#This Row],[Cohort wage (includes BH for hrly staff)]]),"")</f>
        <v/>
      </c>
      <c r="K61" s="185">
        <f>IFERROR(IF(Table1[[#This Row],[Per (Year /Hr)]]="year",Table1[[#This Row],[Cohort wage (includes BH for hrly staff)]],Table1[[#This Row],[Cohort wage (includes BH for hrly staff)]]+Table1[[#This Row],[Hrly staff AL accrual]]),0)</f>
        <v>0</v>
      </c>
      <c r="L61" s="144" t="e">
        <f>((Table1[[#This Row],[Combined hrs per week]]/Table1[[#This Row],['# FTE staff in role]])*($J$3/7))</f>
        <v>#DIV/0!</v>
      </c>
      <c r="M61" s="145" t="e">
        <f>Table1[[#This Row],[Total Wage]]/Table1[[#This Row],['# FTE staff in role]]</f>
        <v>#DIV/0!</v>
      </c>
      <c r="N61" s="145" t="e">
        <f>IF(ISBLANK(Table1[[#This Row],['# FTE staff in role]]),Table1[[#This Row],[Total Wage]]/(Table1[[#This Row],[Combined hrs per week]]*($J$3/7)),(Table1[[#This Row],[an. Wage Per FTE]]/Table1[[#This Row],[an. hrs per fte]]/24))</f>
        <v>#DIV/0!</v>
      </c>
      <c r="O61" s="327" t="str">
        <f>IF(ISBLANK(Table1[[#This Row],[Role]]),"",Table1[[#This Row],[Role]])</f>
        <v/>
      </c>
      <c r="P61" s="309" t="str">
        <f>IF(ISBLANK(Table1[[#This Row],[Role type]]),"",Table1[[#This Row],[Role type]])</f>
        <v/>
      </c>
      <c r="Q61" s="331" t="str">
        <f>IF(ISBLANK(Table1[[#This Row],[Rate]]),"",Table1[[#This Row],[Rate]])</f>
        <v/>
      </c>
      <c r="R61" s="331" t="str">
        <f>IF(ISBLANK(Table1[[#This Row],[Hrly Staff only Bank Hol hrly rate 1]]),"",Table1[[#This Row],[Hrly Staff only Bank Hol hrly rate 1]])</f>
        <v/>
      </c>
      <c r="S61" s="331">
        <f>IF(ISBLANK(Table1[[#This Row],[Hrly Staff only Bank Hol hrly rate 2]]),0,Table1[[#This Row],[Hrly Staff only Bank Hol hrly rate 2]])</f>
        <v>0</v>
      </c>
      <c r="T61" s="331" t="str">
        <f>IF(ISBLANK(Table1[[#This Row],[Per (Year /Hr)]]),"",Table1[[#This Row],[Per (Year /Hr)]])</f>
        <v/>
      </c>
      <c r="U61" s="455" t="str">
        <f>IF(ISBLANK(Table1[[#This Row],['# FTE staff in role]]),"",Table1[[#This Row],['# FTE staff in role]])</f>
        <v/>
      </c>
      <c r="V61" s="317" t="str">
        <f>IF(ISBLANK(Table1[[#This Row],[Combined hrs per week]]),"",Table1[[#This Row],[Combined hrs per week]])</f>
        <v/>
      </c>
      <c r="W61"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1" s="34" t="str">
        <f>IFERROR(IF(Table14[[#This Row],[Per]]="year","",$X$6*Table14[[#This Row],[Cohort Wage (includes BH for hrly rate staff)]]),"")</f>
        <v/>
      </c>
      <c r="Y61" s="35">
        <f>IFERROR(IF(Table14[[#This Row],[Per]]="year",Table14[[#This Row],[Cohort Wage (includes BH for hrly rate staff)]],Table14[[#This Row],[Cohort Wage (includes BH for hrly rate staff)]]+Table14[[#This Row],[Hrly staff AL accrual]]),0)</f>
        <v>0</v>
      </c>
      <c r="Z61" s="70" t="e">
        <f>((Table14[Revised Combined hrs per week]/Table14[Revised '# Staff in role])*($X$3/7))</f>
        <v>#VALUE!</v>
      </c>
      <c r="AA61" s="70" t="e">
        <f>Table14[[#This Row],[Total Wage]]/Table14[Revised '# Staff in role]</f>
        <v>#VALUE!</v>
      </c>
      <c r="AB61" s="70" t="e">
        <f>(Table14[[#This Row],[an wg per fte]]/Table14[[#This Row],[an hrs per fte]]/24)</f>
        <v>#VALUE!</v>
      </c>
    </row>
    <row r="62" spans="1:28" x14ac:dyDescent="0.35">
      <c r="A62" s="327"/>
      <c r="B62" s="330"/>
      <c r="C62" s="227"/>
      <c r="D62" s="227"/>
      <c r="E62" s="227"/>
      <c r="F62" s="310"/>
      <c r="G62" s="388"/>
      <c r="H62" s="228"/>
      <c r="I62"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2" s="34" t="str">
        <f>IFERROR(IF(Table1[[#This Row],[Per (Year /Hr)]]="year","",$J$6*Table1[[#This Row],[Cohort wage (includes BH for hrly staff)]]),"")</f>
        <v/>
      </c>
      <c r="K62" s="185">
        <f>IFERROR(IF(Table1[[#This Row],[Per (Year /Hr)]]="year",Table1[[#This Row],[Cohort wage (includes BH for hrly staff)]],Table1[[#This Row],[Cohort wage (includes BH for hrly staff)]]+Table1[[#This Row],[Hrly staff AL accrual]]),0)</f>
        <v>0</v>
      </c>
      <c r="L62" s="144" t="e">
        <f>((Table1[[#This Row],[Combined hrs per week]]/Table1[[#This Row],['# FTE staff in role]])*($J$3/7))</f>
        <v>#DIV/0!</v>
      </c>
      <c r="M62" s="145" t="e">
        <f>Table1[[#This Row],[Total Wage]]/Table1[[#This Row],['# FTE staff in role]]</f>
        <v>#DIV/0!</v>
      </c>
      <c r="N62" s="145" t="e">
        <f>IF(ISBLANK(Table1[[#This Row],['# FTE staff in role]]),Table1[[#This Row],[Total Wage]]/(Table1[[#This Row],[Combined hrs per week]]*($J$3/7)),(Table1[[#This Row],[an. Wage Per FTE]]/Table1[[#This Row],[an. hrs per fte]]/24))</f>
        <v>#DIV/0!</v>
      </c>
      <c r="O62" s="327" t="str">
        <f>IF(ISBLANK(Table1[[#This Row],[Role]]),"",Table1[[#This Row],[Role]])</f>
        <v/>
      </c>
      <c r="P62" s="309" t="str">
        <f>IF(ISBLANK(Table1[[#This Row],[Role type]]),"",Table1[[#This Row],[Role type]])</f>
        <v/>
      </c>
      <c r="Q62" s="331" t="str">
        <f>IF(ISBLANK(Table1[[#This Row],[Rate]]),"",Table1[[#This Row],[Rate]])</f>
        <v/>
      </c>
      <c r="R62" s="331" t="str">
        <f>IF(ISBLANK(Table1[[#This Row],[Hrly Staff only Bank Hol hrly rate 1]]),"",Table1[[#This Row],[Hrly Staff only Bank Hol hrly rate 1]])</f>
        <v/>
      </c>
      <c r="S62" s="331">
        <f>IF(ISBLANK(Table1[[#This Row],[Hrly Staff only Bank Hol hrly rate 2]]),0,Table1[[#This Row],[Hrly Staff only Bank Hol hrly rate 2]])</f>
        <v>0</v>
      </c>
      <c r="T62" s="331" t="str">
        <f>IF(ISBLANK(Table1[[#This Row],[Per (Year /Hr)]]),"",Table1[[#This Row],[Per (Year /Hr)]])</f>
        <v/>
      </c>
      <c r="U62" s="455" t="str">
        <f>IF(ISBLANK(Table1[[#This Row],['# FTE staff in role]]),"",Table1[[#This Row],['# FTE staff in role]])</f>
        <v/>
      </c>
      <c r="V62" s="317" t="str">
        <f>IF(ISBLANK(Table1[[#This Row],[Combined hrs per week]]),"",Table1[[#This Row],[Combined hrs per week]])</f>
        <v/>
      </c>
      <c r="W62"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2" s="34" t="str">
        <f>IFERROR(IF(Table14[[#This Row],[Per]]="year","",$X$6*Table14[[#This Row],[Cohort Wage (includes BH for hrly rate staff)]]),"")</f>
        <v/>
      </c>
      <c r="Y62" s="35">
        <f>IFERROR(IF(Table14[[#This Row],[Per]]="year",Table14[[#This Row],[Cohort Wage (includes BH for hrly rate staff)]],Table14[[#This Row],[Cohort Wage (includes BH for hrly rate staff)]]+Table14[[#This Row],[Hrly staff AL accrual]]),0)</f>
        <v>0</v>
      </c>
      <c r="Z62" s="70" t="e">
        <f>((Table14[Revised Combined hrs per week]/Table14[Revised '# Staff in role])*($X$3/7))</f>
        <v>#VALUE!</v>
      </c>
      <c r="AA62" s="70" t="e">
        <f>Table14[[#This Row],[Total Wage]]/Table14[Revised '# Staff in role]</f>
        <v>#VALUE!</v>
      </c>
      <c r="AB62" s="70" t="e">
        <f>(Table14[[#This Row],[an wg per fte]]/Table14[[#This Row],[an hrs per fte]]/24)</f>
        <v>#VALUE!</v>
      </c>
    </row>
    <row r="63" spans="1:28" x14ac:dyDescent="0.35">
      <c r="A63" s="327"/>
      <c r="B63" s="330"/>
      <c r="C63" s="227"/>
      <c r="D63" s="227"/>
      <c r="E63" s="227"/>
      <c r="F63" s="310"/>
      <c r="G63" s="388"/>
      <c r="H63" s="228"/>
      <c r="I63"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3" s="34" t="str">
        <f>IFERROR(IF(Table1[[#This Row],[Per (Year /Hr)]]="year","",$J$6*Table1[[#This Row],[Cohort wage (includes BH for hrly staff)]]),"")</f>
        <v/>
      </c>
      <c r="K63" s="185">
        <f>IFERROR(IF(Table1[[#This Row],[Per (Year /Hr)]]="year",Table1[[#This Row],[Cohort wage (includes BH for hrly staff)]],Table1[[#This Row],[Cohort wage (includes BH for hrly staff)]]+Table1[[#This Row],[Hrly staff AL accrual]]),0)</f>
        <v>0</v>
      </c>
      <c r="L63" s="144" t="e">
        <f>((Table1[[#This Row],[Combined hrs per week]]/Table1[[#This Row],['# FTE staff in role]])*($J$3/7))</f>
        <v>#DIV/0!</v>
      </c>
      <c r="M63" s="145" t="e">
        <f>Table1[[#This Row],[Total Wage]]/Table1[[#This Row],['# FTE staff in role]]</f>
        <v>#DIV/0!</v>
      </c>
      <c r="N63" s="145" t="e">
        <f>IF(ISBLANK(Table1[[#This Row],['# FTE staff in role]]),Table1[[#This Row],[Total Wage]]/(Table1[[#This Row],[Combined hrs per week]]*($J$3/7)),(Table1[[#This Row],[an. Wage Per FTE]]/Table1[[#This Row],[an. hrs per fte]]/24))</f>
        <v>#DIV/0!</v>
      </c>
      <c r="O63" s="327" t="str">
        <f>IF(ISBLANK(Table1[[#This Row],[Role]]),"",Table1[[#This Row],[Role]])</f>
        <v/>
      </c>
      <c r="P63" s="309" t="str">
        <f>IF(ISBLANK(Table1[[#This Row],[Role type]]),"",Table1[[#This Row],[Role type]])</f>
        <v/>
      </c>
      <c r="Q63" s="331" t="str">
        <f>IF(ISBLANK(Table1[[#This Row],[Rate]]),"",Table1[[#This Row],[Rate]])</f>
        <v/>
      </c>
      <c r="R63" s="331" t="str">
        <f>IF(ISBLANK(Table1[[#This Row],[Hrly Staff only Bank Hol hrly rate 1]]),"",Table1[[#This Row],[Hrly Staff only Bank Hol hrly rate 1]])</f>
        <v/>
      </c>
      <c r="S63" s="331">
        <f>IF(ISBLANK(Table1[[#This Row],[Hrly Staff only Bank Hol hrly rate 2]]),0,Table1[[#This Row],[Hrly Staff only Bank Hol hrly rate 2]])</f>
        <v>0</v>
      </c>
      <c r="T63" s="331" t="str">
        <f>IF(ISBLANK(Table1[[#This Row],[Per (Year /Hr)]]),"",Table1[[#This Row],[Per (Year /Hr)]])</f>
        <v/>
      </c>
      <c r="U63" s="455" t="str">
        <f>IF(ISBLANK(Table1[[#This Row],['# FTE staff in role]]),"",Table1[[#This Row],['# FTE staff in role]])</f>
        <v/>
      </c>
      <c r="V63" s="317" t="str">
        <f>IF(ISBLANK(Table1[[#This Row],[Combined hrs per week]]),"",Table1[[#This Row],[Combined hrs per week]])</f>
        <v/>
      </c>
      <c r="W63"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3" s="34" t="str">
        <f>IFERROR(IF(Table14[[#This Row],[Per]]="year","",$X$6*Table14[[#This Row],[Cohort Wage (includes BH for hrly rate staff)]]),"")</f>
        <v/>
      </c>
      <c r="Y63" s="35">
        <f>IFERROR(IF(Table14[[#This Row],[Per]]="year",Table14[[#This Row],[Cohort Wage (includes BH for hrly rate staff)]],Table14[[#This Row],[Cohort Wage (includes BH for hrly rate staff)]]+Table14[[#This Row],[Hrly staff AL accrual]]),0)</f>
        <v>0</v>
      </c>
      <c r="Z63" s="70" t="e">
        <f>((Table14[Revised Combined hrs per week]/Table14[Revised '# Staff in role])*($X$3/7))</f>
        <v>#VALUE!</v>
      </c>
      <c r="AA63" s="70" t="e">
        <f>Table14[[#This Row],[Total Wage]]/Table14[Revised '# Staff in role]</f>
        <v>#VALUE!</v>
      </c>
      <c r="AB63" s="70" t="e">
        <f>(Table14[[#This Row],[an wg per fte]]/Table14[[#This Row],[an hrs per fte]]/24)</f>
        <v>#VALUE!</v>
      </c>
    </row>
    <row r="64" spans="1:28" x14ac:dyDescent="0.35">
      <c r="A64" s="327"/>
      <c r="B64" s="330"/>
      <c r="C64" s="227"/>
      <c r="D64" s="227"/>
      <c r="E64" s="227"/>
      <c r="F64" s="310"/>
      <c r="G64" s="388"/>
      <c r="H64" s="228"/>
      <c r="I64"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4" s="34" t="str">
        <f>IFERROR(IF(Table1[[#This Row],[Per (Year /Hr)]]="year","",$J$6*Table1[[#This Row],[Cohort wage (includes BH for hrly staff)]]),"")</f>
        <v/>
      </c>
      <c r="K64" s="185">
        <f>IFERROR(IF(Table1[[#This Row],[Per (Year /Hr)]]="year",Table1[[#This Row],[Cohort wage (includes BH for hrly staff)]],Table1[[#This Row],[Cohort wage (includes BH for hrly staff)]]+Table1[[#This Row],[Hrly staff AL accrual]]),0)</f>
        <v>0</v>
      </c>
      <c r="L64" s="144" t="e">
        <f>((Table1[[#This Row],[Combined hrs per week]]/Table1[[#This Row],['# FTE staff in role]])*($J$3/7))</f>
        <v>#DIV/0!</v>
      </c>
      <c r="M64" s="145" t="e">
        <f>Table1[[#This Row],[Total Wage]]/Table1[[#This Row],['# FTE staff in role]]</f>
        <v>#DIV/0!</v>
      </c>
      <c r="N64" s="145" t="e">
        <f>IF(ISBLANK(Table1[[#This Row],['# FTE staff in role]]),Table1[[#This Row],[Total Wage]]/(Table1[[#This Row],[Combined hrs per week]]*($J$3/7)),(Table1[[#This Row],[an. Wage Per FTE]]/Table1[[#This Row],[an. hrs per fte]]/24))</f>
        <v>#DIV/0!</v>
      </c>
      <c r="O64" s="327" t="str">
        <f>IF(ISBLANK(Table1[[#This Row],[Role]]),"",Table1[[#This Row],[Role]])</f>
        <v/>
      </c>
      <c r="P64" s="309" t="str">
        <f>IF(ISBLANK(Table1[[#This Row],[Role type]]),"",Table1[[#This Row],[Role type]])</f>
        <v/>
      </c>
      <c r="Q64" s="331" t="str">
        <f>IF(ISBLANK(Table1[[#This Row],[Rate]]),"",Table1[[#This Row],[Rate]])</f>
        <v/>
      </c>
      <c r="R64" s="331" t="str">
        <f>IF(ISBLANK(Table1[[#This Row],[Hrly Staff only Bank Hol hrly rate 1]]),"",Table1[[#This Row],[Hrly Staff only Bank Hol hrly rate 1]])</f>
        <v/>
      </c>
      <c r="S64" s="331">
        <f>IF(ISBLANK(Table1[[#This Row],[Hrly Staff only Bank Hol hrly rate 2]]),0,Table1[[#This Row],[Hrly Staff only Bank Hol hrly rate 2]])</f>
        <v>0</v>
      </c>
      <c r="T64" s="331" t="str">
        <f>IF(ISBLANK(Table1[[#This Row],[Per (Year /Hr)]]),"",Table1[[#This Row],[Per (Year /Hr)]])</f>
        <v/>
      </c>
      <c r="U64" s="455" t="str">
        <f>IF(ISBLANK(Table1[[#This Row],['# FTE staff in role]]),"",Table1[[#This Row],['# FTE staff in role]])</f>
        <v/>
      </c>
      <c r="V64" s="317" t="str">
        <f>IF(ISBLANK(Table1[[#This Row],[Combined hrs per week]]),"",Table1[[#This Row],[Combined hrs per week]])</f>
        <v/>
      </c>
      <c r="W64"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4" s="34" t="str">
        <f>IFERROR(IF(Table14[[#This Row],[Per]]="year","",$X$6*Table14[[#This Row],[Cohort Wage (includes BH for hrly rate staff)]]),"")</f>
        <v/>
      </c>
      <c r="Y64" s="35">
        <f>IFERROR(IF(Table14[[#This Row],[Per]]="year",Table14[[#This Row],[Cohort Wage (includes BH for hrly rate staff)]],Table14[[#This Row],[Cohort Wage (includes BH for hrly rate staff)]]+Table14[[#This Row],[Hrly staff AL accrual]]),0)</f>
        <v>0</v>
      </c>
      <c r="Z64" s="70" t="e">
        <f>((Table14[Revised Combined hrs per week]/Table14[Revised '# Staff in role])*($X$3/7))</f>
        <v>#VALUE!</v>
      </c>
      <c r="AA64" s="70" t="e">
        <f>Table14[[#This Row],[Total Wage]]/Table14[Revised '# Staff in role]</f>
        <v>#VALUE!</v>
      </c>
      <c r="AB64" s="70" t="e">
        <f>(Table14[[#This Row],[an wg per fte]]/Table14[[#This Row],[an hrs per fte]]/24)</f>
        <v>#VALUE!</v>
      </c>
    </row>
    <row r="65" spans="1:28" x14ac:dyDescent="0.35">
      <c r="A65" s="327"/>
      <c r="B65" s="330"/>
      <c r="C65" s="227"/>
      <c r="D65" s="227"/>
      <c r="E65" s="227"/>
      <c r="F65" s="310"/>
      <c r="G65" s="388"/>
      <c r="H65" s="228"/>
      <c r="I65" s="33"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5" s="34" t="str">
        <f>IFERROR(IF(Table1[[#This Row],[Per (Year /Hr)]]="year","",$J$6*Table1[[#This Row],[Cohort wage (includes BH for hrly staff)]]),"")</f>
        <v/>
      </c>
      <c r="K65" s="185">
        <f>IFERROR(IF(Table1[[#This Row],[Per (Year /Hr)]]="year",Table1[[#This Row],[Cohort wage (includes BH for hrly staff)]],Table1[[#This Row],[Cohort wage (includes BH for hrly staff)]]+Table1[[#This Row],[Hrly staff AL accrual]]),0)</f>
        <v>0</v>
      </c>
      <c r="L65" s="144" t="e">
        <f>((Table1[[#This Row],[Combined hrs per week]]/Table1[[#This Row],['# FTE staff in role]])*($J$3/7))</f>
        <v>#DIV/0!</v>
      </c>
      <c r="M65" s="145" t="e">
        <f>Table1[[#This Row],[Total Wage]]/Table1[[#This Row],['# FTE staff in role]]</f>
        <v>#DIV/0!</v>
      </c>
      <c r="N65" s="145" t="e">
        <f>IF(ISBLANK(Table1[[#This Row],['# FTE staff in role]]),Table1[[#This Row],[Total Wage]]/(Table1[[#This Row],[Combined hrs per week]]*($J$3/7)),(Table1[[#This Row],[an. Wage Per FTE]]/Table1[[#This Row],[an. hrs per fte]]/24))</f>
        <v>#DIV/0!</v>
      </c>
      <c r="O65" s="327" t="str">
        <f>IF(ISBLANK(Table1[[#This Row],[Role]]),"",Table1[[#This Row],[Role]])</f>
        <v/>
      </c>
      <c r="P65" s="309" t="str">
        <f>IF(ISBLANK(Table1[[#This Row],[Role type]]),"",Table1[[#This Row],[Role type]])</f>
        <v/>
      </c>
      <c r="Q65" s="331" t="str">
        <f>IF(ISBLANK(Table1[[#This Row],[Rate]]),"",Table1[[#This Row],[Rate]])</f>
        <v/>
      </c>
      <c r="R65" s="331" t="str">
        <f>IF(ISBLANK(Table1[[#This Row],[Hrly Staff only Bank Hol hrly rate 1]]),"",Table1[[#This Row],[Hrly Staff only Bank Hol hrly rate 1]])</f>
        <v/>
      </c>
      <c r="S65" s="331">
        <f>IF(ISBLANK(Table1[[#This Row],[Hrly Staff only Bank Hol hrly rate 2]]),0,Table1[[#This Row],[Hrly Staff only Bank Hol hrly rate 2]])</f>
        <v>0</v>
      </c>
      <c r="T65" s="331" t="str">
        <f>IF(ISBLANK(Table1[[#This Row],[Per (Year /Hr)]]),"",Table1[[#This Row],[Per (Year /Hr)]])</f>
        <v/>
      </c>
      <c r="U65" s="455" t="str">
        <f>IF(ISBLANK(Table1[[#This Row],['# FTE staff in role]]),"",Table1[[#This Row],['# FTE staff in role]])</f>
        <v/>
      </c>
      <c r="V65" s="317" t="str">
        <f>IF(ISBLANK(Table1[[#This Row],[Combined hrs per week]]),"",Table1[[#This Row],[Combined hrs per week]])</f>
        <v/>
      </c>
      <c r="W65" s="33"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5" s="34" t="str">
        <f>IFERROR(IF(Table14[[#This Row],[Per]]="year","",$X$6*Table14[[#This Row],[Cohort Wage (includes BH for hrly rate staff)]]),"")</f>
        <v/>
      </c>
      <c r="Y65" s="35">
        <f>IFERROR(IF(Table14[[#This Row],[Per]]="year",Table14[[#This Row],[Cohort Wage (includes BH for hrly rate staff)]],Table14[[#This Row],[Cohort Wage (includes BH for hrly rate staff)]]+Table14[[#This Row],[Hrly staff AL accrual]]),0)</f>
        <v>0</v>
      </c>
      <c r="Z65" s="70" t="e">
        <f>((Table14[Revised Combined hrs per week]/Table14[Revised '# Staff in role])*($X$3/7))</f>
        <v>#VALUE!</v>
      </c>
      <c r="AA65" s="70" t="e">
        <f>Table14[[#This Row],[Total Wage]]/Table14[Revised '# Staff in role]</f>
        <v>#VALUE!</v>
      </c>
      <c r="AB65" s="70" t="e">
        <f>(Table14[[#This Row],[an wg per fte]]/Table14[[#This Row],[an hrs per fte]]/24)</f>
        <v>#VALUE!</v>
      </c>
    </row>
    <row r="66" spans="1:28" x14ac:dyDescent="0.35">
      <c r="A66" s="327"/>
      <c r="B66" s="330"/>
      <c r="C66" s="227"/>
      <c r="D66" s="227"/>
      <c r="E66" s="227"/>
      <c r="F66" s="310"/>
      <c r="G66" s="388"/>
      <c r="H66" s="228"/>
      <c r="I66"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6" s="37" t="str">
        <f>IFERROR(IF(Table1[[#This Row],[Per (Year /Hr)]]="year","",$J$6*Table1[[#This Row],[Cohort wage (includes BH for hrly staff)]]),"")</f>
        <v/>
      </c>
      <c r="K66" s="184">
        <f>IFERROR(IF(Table1[[#This Row],[Per (Year /Hr)]]="year",Table1[[#This Row],[Cohort wage (includes BH for hrly staff)]],Table1[[#This Row],[Cohort wage (includes BH for hrly staff)]]+Table1[[#This Row],[Hrly staff AL accrual]]),0)</f>
        <v>0</v>
      </c>
      <c r="L66" s="144" t="e">
        <f>((Table1[[#This Row],[Combined hrs per week]]/Table1[[#This Row],['# FTE staff in role]])*($J$3/7))</f>
        <v>#DIV/0!</v>
      </c>
      <c r="M66" s="145" t="e">
        <f>Table1[[#This Row],[Total Wage]]/Table1[[#This Row],['# FTE staff in role]]</f>
        <v>#DIV/0!</v>
      </c>
      <c r="N66" s="145" t="e">
        <f>IF(ISBLANK(Table1[[#This Row],['# FTE staff in role]]),Table1[[#This Row],[Total Wage]]/(Table1[[#This Row],[Combined hrs per week]]*($J$3/7)),(Table1[[#This Row],[an. Wage Per FTE]]/Table1[[#This Row],[an. hrs per fte]]/24))</f>
        <v>#DIV/0!</v>
      </c>
      <c r="O66" s="327" t="str">
        <f>IF(ISBLANK(Table1[[#This Row],[Role]]),"",Table1[[#This Row],[Role]])</f>
        <v/>
      </c>
      <c r="P66" s="309" t="str">
        <f>IF(ISBLANK(Table1[[#This Row],[Role type]]),"",Table1[[#This Row],[Role type]])</f>
        <v/>
      </c>
      <c r="Q66" s="331" t="str">
        <f>IF(ISBLANK(Table1[[#This Row],[Rate]]),"",Table1[[#This Row],[Rate]])</f>
        <v/>
      </c>
      <c r="R66" s="331" t="str">
        <f>IF(ISBLANK(Table1[[#This Row],[Hrly Staff only Bank Hol hrly rate 1]]),"",Table1[[#This Row],[Hrly Staff only Bank Hol hrly rate 1]])</f>
        <v/>
      </c>
      <c r="S66" s="331">
        <f>IF(ISBLANK(Table1[[#This Row],[Hrly Staff only Bank Hol hrly rate 2]]),0,Table1[[#This Row],[Hrly Staff only Bank Hol hrly rate 2]])</f>
        <v>0</v>
      </c>
      <c r="T66" s="331" t="str">
        <f>IF(ISBLANK(Table1[[#This Row],[Per (Year /Hr)]]),"",Table1[[#This Row],[Per (Year /Hr)]])</f>
        <v/>
      </c>
      <c r="U66" s="455" t="str">
        <f>IF(ISBLANK(Table1[[#This Row],['# FTE staff in role]]),"",Table1[[#This Row],['# FTE staff in role]])</f>
        <v/>
      </c>
      <c r="V66" s="317" t="str">
        <f>IF(ISBLANK(Table1[[#This Row],[Combined hrs per week]]),"",Table1[[#This Row],[Combined hrs per week]])</f>
        <v/>
      </c>
      <c r="W66"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6" s="37" t="str">
        <f>IFERROR(IF(Table14[[#This Row],[Per]]="year","",$X$6*Table14[[#This Row],[Cohort Wage (includes BH for hrly rate staff)]]),"")</f>
        <v/>
      </c>
      <c r="Y66" s="38">
        <f>IFERROR(IF(Table14[[#This Row],[Per]]="year",Table14[[#This Row],[Cohort Wage (includes BH for hrly rate staff)]],Table14[[#This Row],[Cohort Wage (includes BH for hrly rate staff)]]+Table14[[#This Row],[Hrly staff AL accrual]]),0)</f>
        <v>0</v>
      </c>
      <c r="Z66" s="70" t="e">
        <f>((Table14[Revised Combined hrs per week]/Table14[Revised '# Staff in role])*($X$3/7))</f>
        <v>#VALUE!</v>
      </c>
      <c r="AA66" s="70" t="e">
        <f>Table14[[#This Row],[Total Wage]]/Table14[Revised '# Staff in role]</f>
        <v>#VALUE!</v>
      </c>
      <c r="AB66" s="70" t="e">
        <f>(Table14[[#This Row],[an wg per fte]]/Table14[[#This Row],[an hrs per fte]]/24)</f>
        <v>#VALUE!</v>
      </c>
    </row>
    <row r="67" spans="1:28" x14ac:dyDescent="0.35">
      <c r="A67" s="327"/>
      <c r="B67" s="330"/>
      <c r="C67" s="227"/>
      <c r="D67" s="227"/>
      <c r="E67" s="227"/>
      <c r="F67" s="310"/>
      <c r="G67" s="388"/>
      <c r="H67" s="228"/>
      <c r="I67"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7" s="37" t="str">
        <f>IFERROR(IF(Table1[[#This Row],[Per (Year /Hr)]]="year","",$J$6*Table1[[#This Row],[Cohort wage (includes BH for hrly staff)]]),"")</f>
        <v/>
      </c>
      <c r="K67" s="184">
        <f>IFERROR(IF(Table1[[#This Row],[Per (Year /Hr)]]="year",Table1[[#This Row],[Cohort wage (includes BH for hrly staff)]],Table1[[#This Row],[Cohort wage (includes BH for hrly staff)]]+Table1[[#This Row],[Hrly staff AL accrual]]),0)</f>
        <v>0</v>
      </c>
      <c r="L67" s="144" t="e">
        <f>((Table1[[#This Row],[Combined hrs per week]]/Table1[[#This Row],['# FTE staff in role]])*($J$3/7))</f>
        <v>#DIV/0!</v>
      </c>
      <c r="M67" s="145" t="e">
        <f>Table1[[#This Row],[Total Wage]]/Table1[[#This Row],['# FTE staff in role]]</f>
        <v>#DIV/0!</v>
      </c>
      <c r="N67" s="145" t="e">
        <f>IF(ISBLANK(Table1[[#This Row],['# FTE staff in role]]),Table1[[#This Row],[Total Wage]]/(Table1[[#This Row],[Combined hrs per week]]*($J$3/7)),(Table1[[#This Row],[an. Wage Per FTE]]/Table1[[#This Row],[an. hrs per fte]]/24))</f>
        <v>#DIV/0!</v>
      </c>
      <c r="O67" s="327" t="str">
        <f>IF(ISBLANK(Table1[[#This Row],[Role]]),"",Table1[[#This Row],[Role]])</f>
        <v/>
      </c>
      <c r="P67" s="309" t="str">
        <f>IF(ISBLANK(Table1[[#This Row],[Role type]]),"",Table1[[#This Row],[Role type]])</f>
        <v/>
      </c>
      <c r="Q67" s="331" t="str">
        <f>IF(ISBLANK(Table1[[#This Row],[Rate]]),"",Table1[[#This Row],[Rate]])</f>
        <v/>
      </c>
      <c r="R67" s="331" t="str">
        <f>IF(ISBLANK(Table1[[#This Row],[Hrly Staff only Bank Hol hrly rate 1]]),"",Table1[[#This Row],[Hrly Staff only Bank Hol hrly rate 1]])</f>
        <v/>
      </c>
      <c r="S67" s="331">
        <f>IF(ISBLANK(Table1[[#This Row],[Hrly Staff only Bank Hol hrly rate 2]]),0,Table1[[#This Row],[Hrly Staff only Bank Hol hrly rate 2]])</f>
        <v>0</v>
      </c>
      <c r="T67" s="331" t="str">
        <f>IF(ISBLANK(Table1[[#This Row],[Per (Year /Hr)]]),"",Table1[[#This Row],[Per (Year /Hr)]])</f>
        <v/>
      </c>
      <c r="U67" s="455" t="str">
        <f>IF(ISBLANK(Table1[[#This Row],['# FTE staff in role]]),"",Table1[[#This Row],['# FTE staff in role]])</f>
        <v/>
      </c>
      <c r="V67" s="317" t="str">
        <f>IF(ISBLANK(Table1[[#This Row],[Combined hrs per week]]),"",Table1[[#This Row],[Combined hrs per week]])</f>
        <v/>
      </c>
      <c r="W67"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7" s="37" t="str">
        <f>IFERROR(IF(Table14[[#This Row],[Per]]="year","",$X$6*Table14[[#This Row],[Cohort Wage (includes BH for hrly rate staff)]]),"")</f>
        <v/>
      </c>
      <c r="Y67" s="38">
        <f>IFERROR(IF(Table14[[#This Row],[Per]]="year",Table14[[#This Row],[Cohort Wage (includes BH for hrly rate staff)]],Table14[[#This Row],[Cohort Wage (includes BH for hrly rate staff)]]+Table14[[#This Row],[Hrly staff AL accrual]]),0)</f>
        <v>0</v>
      </c>
      <c r="Z67" s="70" t="e">
        <f>((Table14[Revised Combined hrs per week]/Table14[Revised '# Staff in role])*($X$3/7))</f>
        <v>#VALUE!</v>
      </c>
      <c r="AA67" s="70" t="e">
        <f>Table14[[#This Row],[Total Wage]]/Table14[Revised '# Staff in role]</f>
        <v>#VALUE!</v>
      </c>
      <c r="AB67" s="70" t="e">
        <f>(Table14[[#This Row],[an wg per fte]]/Table14[[#This Row],[an hrs per fte]]/24)</f>
        <v>#VALUE!</v>
      </c>
    </row>
    <row r="68" spans="1:28" x14ac:dyDescent="0.35">
      <c r="A68" s="327"/>
      <c r="B68" s="330"/>
      <c r="C68" s="227"/>
      <c r="D68" s="227"/>
      <c r="E68" s="227"/>
      <c r="F68" s="310"/>
      <c r="G68" s="388"/>
      <c r="H68" s="228"/>
      <c r="I68"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8" s="37" t="str">
        <f>IFERROR(IF(Table1[[#This Row],[Per (Year /Hr)]]="year","",$J$6*Table1[[#This Row],[Cohort wage (includes BH for hrly staff)]]),"")</f>
        <v/>
      </c>
      <c r="K68" s="184">
        <f>IFERROR(IF(Table1[[#This Row],[Per (Year /Hr)]]="year",Table1[[#This Row],[Cohort wage (includes BH for hrly staff)]],Table1[[#This Row],[Cohort wage (includes BH for hrly staff)]]+Table1[[#This Row],[Hrly staff AL accrual]]),0)</f>
        <v>0</v>
      </c>
      <c r="L68" s="144" t="e">
        <f>((Table1[[#This Row],[Combined hrs per week]]/Table1[[#This Row],['# FTE staff in role]])*($J$3/7))</f>
        <v>#DIV/0!</v>
      </c>
      <c r="M68" s="145" t="e">
        <f>Table1[[#This Row],[Total Wage]]/Table1[[#This Row],['# FTE staff in role]]</f>
        <v>#DIV/0!</v>
      </c>
      <c r="N68" s="145" t="e">
        <f>IF(ISBLANK(Table1[[#This Row],['# FTE staff in role]]),Table1[[#This Row],[Total Wage]]/(Table1[[#This Row],[Combined hrs per week]]*($J$3/7)),(Table1[[#This Row],[an. Wage Per FTE]]/Table1[[#This Row],[an. hrs per fte]]/24))</f>
        <v>#DIV/0!</v>
      </c>
      <c r="O68" s="327" t="str">
        <f>IF(ISBLANK(Table1[[#This Row],[Role]]),"",Table1[[#This Row],[Role]])</f>
        <v/>
      </c>
      <c r="P68" s="309" t="str">
        <f>IF(ISBLANK(Table1[[#This Row],[Role type]]),"",Table1[[#This Row],[Role type]])</f>
        <v/>
      </c>
      <c r="Q68" s="331" t="str">
        <f>IF(ISBLANK(Table1[[#This Row],[Rate]]),"",Table1[[#This Row],[Rate]])</f>
        <v/>
      </c>
      <c r="R68" s="331" t="str">
        <f>IF(ISBLANK(Table1[[#This Row],[Hrly Staff only Bank Hol hrly rate 1]]),"",Table1[[#This Row],[Hrly Staff only Bank Hol hrly rate 1]])</f>
        <v/>
      </c>
      <c r="S68" s="331">
        <f>IF(ISBLANK(Table1[[#This Row],[Hrly Staff only Bank Hol hrly rate 2]]),0,Table1[[#This Row],[Hrly Staff only Bank Hol hrly rate 2]])</f>
        <v>0</v>
      </c>
      <c r="T68" s="331" t="str">
        <f>IF(ISBLANK(Table1[[#This Row],[Per (Year /Hr)]]),"",Table1[[#This Row],[Per (Year /Hr)]])</f>
        <v/>
      </c>
      <c r="U68" s="455" t="str">
        <f>IF(ISBLANK(Table1[[#This Row],['# FTE staff in role]]),"",Table1[[#This Row],['# FTE staff in role]])</f>
        <v/>
      </c>
      <c r="V68" s="317" t="str">
        <f>IF(ISBLANK(Table1[[#This Row],[Combined hrs per week]]),"",Table1[[#This Row],[Combined hrs per week]])</f>
        <v/>
      </c>
      <c r="W68"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8" s="37" t="str">
        <f>IFERROR(IF(Table14[[#This Row],[Per]]="year","",$X$6*Table14[[#This Row],[Cohort Wage (includes BH for hrly rate staff)]]),"")</f>
        <v/>
      </c>
      <c r="Y68" s="38">
        <f>IFERROR(IF(Table14[[#This Row],[Per]]="year",Table14[[#This Row],[Cohort Wage (includes BH for hrly rate staff)]],Table14[[#This Row],[Cohort Wage (includes BH for hrly rate staff)]]+Table14[[#This Row],[Hrly staff AL accrual]]),0)</f>
        <v>0</v>
      </c>
      <c r="Z68" s="70" t="e">
        <f>((Table14[Revised Combined hrs per week]/Table14[Revised '# Staff in role])*($X$3/7))</f>
        <v>#VALUE!</v>
      </c>
      <c r="AA68" s="70" t="e">
        <f>Table14[[#This Row],[Total Wage]]/Table14[Revised '# Staff in role]</f>
        <v>#VALUE!</v>
      </c>
      <c r="AB68" s="70" t="e">
        <f>(Table14[[#This Row],[an wg per fte]]/Table14[[#This Row],[an hrs per fte]]/24)</f>
        <v>#VALUE!</v>
      </c>
    </row>
    <row r="69" spans="1:28" x14ac:dyDescent="0.35">
      <c r="A69" s="327"/>
      <c r="B69" s="330"/>
      <c r="C69" s="227"/>
      <c r="D69" s="227"/>
      <c r="E69" s="227"/>
      <c r="F69" s="310"/>
      <c r="G69" s="388"/>
      <c r="H69" s="228"/>
      <c r="I69"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69" s="37" t="str">
        <f>IFERROR(IF(Table1[[#This Row],[Per (Year /Hr)]]="year","",$J$6*Table1[[#This Row],[Cohort wage (includes BH for hrly staff)]]),"")</f>
        <v/>
      </c>
      <c r="K69" s="184">
        <f>IFERROR(IF(Table1[[#This Row],[Per (Year /Hr)]]="year",Table1[[#This Row],[Cohort wage (includes BH for hrly staff)]],Table1[[#This Row],[Cohort wage (includes BH for hrly staff)]]+Table1[[#This Row],[Hrly staff AL accrual]]),0)</f>
        <v>0</v>
      </c>
      <c r="L69" s="144" t="e">
        <f>((Table1[[#This Row],[Combined hrs per week]]/Table1[[#This Row],['# FTE staff in role]])*($J$3/7))</f>
        <v>#DIV/0!</v>
      </c>
      <c r="M69" s="145" t="e">
        <f>Table1[[#This Row],[Total Wage]]/Table1[[#This Row],['# FTE staff in role]]</f>
        <v>#DIV/0!</v>
      </c>
      <c r="N69" s="145" t="e">
        <f>IF(ISBLANK(Table1[[#This Row],['# FTE staff in role]]),Table1[[#This Row],[Total Wage]]/(Table1[[#This Row],[Combined hrs per week]]*($J$3/7)),(Table1[[#This Row],[an. Wage Per FTE]]/Table1[[#This Row],[an. hrs per fte]]/24))</f>
        <v>#DIV/0!</v>
      </c>
      <c r="O69" s="327" t="str">
        <f>IF(ISBLANK(Table1[[#This Row],[Role]]),"",Table1[[#This Row],[Role]])</f>
        <v/>
      </c>
      <c r="P69" s="309" t="str">
        <f>IF(ISBLANK(Table1[[#This Row],[Role type]]),"",Table1[[#This Row],[Role type]])</f>
        <v/>
      </c>
      <c r="Q69" s="331" t="str">
        <f>IF(ISBLANK(Table1[[#This Row],[Rate]]),"",Table1[[#This Row],[Rate]])</f>
        <v/>
      </c>
      <c r="R69" s="331" t="str">
        <f>IF(ISBLANK(Table1[[#This Row],[Hrly Staff only Bank Hol hrly rate 1]]),"",Table1[[#This Row],[Hrly Staff only Bank Hol hrly rate 1]])</f>
        <v/>
      </c>
      <c r="S69" s="331">
        <f>IF(ISBLANK(Table1[[#This Row],[Hrly Staff only Bank Hol hrly rate 2]]),0,Table1[[#This Row],[Hrly Staff only Bank Hol hrly rate 2]])</f>
        <v>0</v>
      </c>
      <c r="T69" s="331" t="str">
        <f>IF(ISBLANK(Table1[[#This Row],[Per (Year /Hr)]]),"",Table1[[#This Row],[Per (Year /Hr)]])</f>
        <v/>
      </c>
      <c r="U69" s="455" t="str">
        <f>IF(ISBLANK(Table1[[#This Row],['# FTE staff in role]]),"",Table1[[#This Row],['# FTE staff in role]])</f>
        <v/>
      </c>
      <c r="V69" s="317" t="str">
        <f>IF(ISBLANK(Table1[[#This Row],[Combined hrs per week]]),"",Table1[[#This Row],[Combined hrs per week]])</f>
        <v/>
      </c>
      <c r="W69"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69" s="37" t="str">
        <f>IFERROR(IF(Table14[[#This Row],[Per]]="year","",$X$6*Table14[[#This Row],[Cohort Wage (includes BH for hrly rate staff)]]),"")</f>
        <v/>
      </c>
      <c r="Y69" s="38">
        <f>IFERROR(IF(Table14[[#This Row],[Per]]="year",Table14[[#This Row],[Cohort Wage (includes BH for hrly rate staff)]],Table14[[#This Row],[Cohort Wage (includes BH for hrly rate staff)]]+Table14[[#This Row],[Hrly staff AL accrual]]),0)</f>
        <v>0</v>
      </c>
      <c r="Z69" s="70" t="e">
        <f>((Table14[Revised Combined hrs per week]/Table14[Revised '# Staff in role])*($X$3/7))</f>
        <v>#VALUE!</v>
      </c>
      <c r="AA69" s="70" t="e">
        <f>Table14[[#This Row],[Total Wage]]/Table14[Revised '# Staff in role]</f>
        <v>#VALUE!</v>
      </c>
      <c r="AB69" s="70" t="e">
        <f>(Table14[[#This Row],[an wg per fte]]/Table14[[#This Row],[an hrs per fte]]/24)</f>
        <v>#VALUE!</v>
      </c>
    </row>
    <row r="70" spans="1:28" x14ac:dyDescent="0.35">
      <c r="A70" s="327"/>
      <c r="B70" s="330"/>
      <c r="C70" s="227"/>
      <c r="D70" s="227"/>
      <c r="E70" s="227"/>
      <c r="F70" s="310"/>
      <c r="G70" s="388"/>
      <c r="H70" s="228"/>
      <c r="I70"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0" s="37" t="str">
        <f>IFERROR(IF(Table1[[#This Row],[Per (Year /Hr)]]="year","",$J$6*Table1[[#This Row],[Cohort wage (includes BH for hrly staff)]]),"")</f>
        <v/>
      </c>
      <c r="K70" s="184">
        <f>IFERROR(IF(Table1[[#This Row],[Per (Year /Hr)]]="year",Table1[[#This Row],[Cohort wage (includes BH for hrly staff)]],Table1[[#This Row],[Cohort wage (includes BH for hrly staff)]]+Table1[[#This Row],[Hrly staff AL accrual]]),0)</f>
        <v>0</v>
      </c>
      <c r="L70" s="144" t="e">
        <f>((Table1[[#This Row],[Combined hrs per week]]/Table1[[#This Row],['# FTE staff in role]])*($J$3/7))</f>
        <v>#DIV/0!</v>
      </c>
      <c r="M70" s="145" t="e">
        <f>Table1[[#This Row],[Total Wage]]/Table1[[#This Row],['# FTE staff in role]]</f>
        <v>#DIV/0!</v>
      </c>
      <c r="N70" s="145" t="e">
        <f>IF(ISBLANK(Table1[[#This Row],['# FTE staff in role]]),Table1[[#This Row],[Total Wage]]/(Table1[[#This Row],[Combined hrs per week]]*($J$3/7)),(Table1[[#This Row],[an. Wage Per FTE]]/Table1[[#This Row],[an. hrs per fte]]/24))</f>
        <v>#DIV/0!</v>
      </c>
      <c r="O70" s="327" t="str">
        <f>IF(ISBLANK(Table1[[#This Row],[Role]]),"",Table1[[#This Row],[Role]])</f>
        <v/>
      </c>
      <c r="P70" s="309" t="str">
        <f>IF(ISBLANK(Table1[[#This Row],[Role type]]),"",Table1[[#This Row],[Role type]])</f>
        <v/>
      </c>
      <c r="Q70" s="412" t="str">
        <f>IF(ISBLANK(Table1[[#This Row],[Rate]]),"",Table1[[#This Row],[Rate]])</f>
        <v/>
      </c>
      <c r="R70" s="331" t="str">
        <f>IF(ISBLANK(Table1[[#This Row],[Hrly Staff only Bank Hol hrly rate 1]]),"",Table1[[#This Row],[Hrly Staff only Bank Hol hrly rate 1]])</f>
        <v/>
      </c>
      <c r="S70" s="331">
        <f>IF(ISBLANK(Table1[[#This Row],[Hrly Staff only Bank Hol hrly rate 2]]),0,Table1[[#This Row],[Hrly Staff only Bank Hol hrly rate 2]])</f>
        <v>0</v>
      </c>
      <c r="T70" s="331" t="str">
        <f>IF(ISBLANK(Table1[[#This Row],[Per (Year /Hr)]]),"",Table1[[#This Row],[Per (Year /Hr)]])</f>
        <v/>
      </c>
      <c r="U70" s="455" t="str">
        <f>IF(ISBLANK(Table1[[#This Row],['# FTE staff in role]]),"",Table1[[#This Row],['# FTE staff in role]])</f>
        <v/>
      </c>
      <c r="V70" s="317" t="str">
        <f>IF(ISBLANK(Table1[[#This Row],[Combined hrs per week]]),"",Table1[[#This Row],[Combined hrs per week]])</f>
        <v/>
      </c>
      <c r="W70"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0" s="37" t="str">
        <f>IFERROR(IF(Table14[[#This Row],[Per]]="year","",$X$6*Table14[[#This Row],[Cohort Wage (includes BH for hrly rate staff)]]),"")</f>
        <v/>
      </c>
      <c r="Y70" s="38">
        <f>IFERROR(IF(Table14[[#This Row],[Per]]="year",Table14[[#This Row],[Cohort Wage (includes BH for hrly rate staff)]],Table14[[#This Row],[Cohort Wage (includes BH for hrly rate staff)]]+Table14[[#This Row],[Hrly staff AL accrual]]),0)</f>
        <v>0</v>
      </c>
      <c r="Z70" s="70" t="e">
        <f>((Table14[Revised Combined hrs per week]/Table14[Revised '# Staff in role])*($X$3/7))</f>
        <v>#VALUE!</v>
      </c>
      <c r="AA70" s="70" t="e">
        <f>Table14[[#This Row],[Total Wage]]/Table14[Revised '# Staff in role]</f>
        <v>#VALUE!</v>
      </c>
      <c r="AB70" s="70" t="e">
        <f>(Table14[[#This Row],[an wg per fte]]/Table14[[#This Row],[an hrs per fte]]/24)</f>
        <v>#VALUE!</v>
      </c>
    </row>
    <row r="71" spans="1:28" x14ac:dyDescent="0.35">
      <c r="A71" s="327"/>
      <c r="B71" s="330"/>
      <c r="C71" s="227"/>
      <c r="D71" s="227"/>
      <c r="E71" s="227"/>
      <c r="F71" s="310"/>
      <c r="G71" s="388"/>
      <c r="H71" s="228"/>
      <c r="I71"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1" s="37" t="str">
        <f>IFERROR(IF(Table1[[#This Row],[Per (Year /Hr)]]="year","",$J$6*Table1[[#This Row],[Cohort wage (includes BH for hrly staff)]]),"")</f>
        <v/>
      </c>
      <c r="K71" s="184">
        <f>IFERROR(IF(Table1[[#This Row],[Per (Year /Hr)]]="year",Table1[[#This Row],[Cohort wage (includes BH for hrly staff)]],Table1[[#This Row],[Cohort wage (includes BH for hrly staff)]]+Table1[[#This Row],[Hrly staff AL accrual]]),0)</f>
        <v>0</v>
      </c>
      <c r="L71" s="144" t="e">
        <f>((Table1[[#This Row],[Combined hrs per week]]/Table1[[#This Row],['# FTE staff in role]])*($J$3/7))</f>
        <v>#DIV/0!</v>
      </c>
      <c r="M71" s="145" t="e">
        <f>Table1[[#This Row],[Total Wage]]/Table1[[#This Row],['# FTE staff in role]]</f>
        <v>#DIV/0!</v>
      </c>
      <c r="N71" s="145" t="e">
        <f>IF(ISBLANK(Table1[[#This Row],['# FTE staff in role]]),Table1[[#This Row],[Total Wage]]/(Table1[[#This Row],[Combined hrs per week]]*($J$3/7)),(Table1[[#This Row],[an. Wage Per FTE]]/Table1[[#This Row],[an. hrs per fte]]/24))</f>
        <v>#DIV/0!</v>
      </c>
      <c r="O71" s="327" t="str">
        <f>IF(ISBLANK(Table1[[#This Row],[Role]]),"",Table1[[#This Row],[Role]])</f>
        <v/>
      </c>
      <c r="P71" s="309" t="str">
        <f>IF(ISBLANK(Table1[[#This Row],[Role type]]),"",Table1[[#This Row],[Role type]])</f>
        <v/>
      </c>
      <c r="Q71" s="331" t="str">
        <f>IF(ISBLANK(Table1[[#This Row],[Rate]]),"",Table1[[#This Row],[Rate]])</f>
        <v/>
      </c>
      <c r="R71" s="331" t="str">
        <f>IF(ISBLANK(Table1[[#This Row],[Hrly Staff only Bank Hol hrly rate 1]]),"",Table1[[#This Row],[Hrly Staff only Bank Hol hrly rate 1]])</f>
        <v/>
      </c>
      <c r="S71" s="331">
        <f>IF(ISBLANK(Table1[[#This Row],[Hrly Staff only Bank Hol hrly rate 2]]),0,Table1[[#This Row],[Hrly Staff only Bank Hol hrly rate 2]])</f>
        <v>0</v>
      </c>
      <c r="T71" s="331" t="str">
        <f>IF(ISBLANK(Table1[[#This Row],[Per (Year /Hr)]]),"",Table1[[#This Row],[Per (Year /Hr)]])</f>
        <v/>
      </c>
      <c r="U71" s="455" t="str">
        <f>IF(ISBLANK(Table1[[#This Row],['# FTE staff in role]]),"",Table1[[#This Row],['# FTE staff in role]])</f>
        <v/>
      </c>
      <c r="V71" s="317" t="str">
        <f>IF(ISBLANK(Table1[[#This Row],[Combined hrs per week]]),"",Table1[[#This Row],[Combined hrs per week]])</f>
        <v/>
      </c>
      <c r="W71"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1" s="37" t="str">
        <f>IFERROR(IF(Table14[[#This Row],[Per]]="year","",$X$6*Table14[[#This Row],[Cohort Wage (includes BH for hrly rate staff)]]),"")</f>
        <v/>
      </c>
      <c r="Y71" s="38">
        <f>IFERROR(IF(Table14[[#This Row],[Per]]="year",Table14[[#This Row],[Cohort Wage (includes BH for hrly rate staff)]],Table14[[#This Row],[Cohort Wage (includes BH for hrly rate staff)]]+Table14[[#This Row],[Hrly staff AL accrual]]),0)</f>
        <v>0</v>
      </c>
      <c r="Z71" s="70" t="e">
        <f>((Table14[Revised Combined hrs per week]/Table14[Revised '# Staff in role])*($X$3/7))</f>
        <v>#VALUE!</v>
      </c>
      <c r="AA71" s="70" t="e">
        <f>Table14[[#This Row],[Total Wage]]/Table14[Revised '# Staff in role]</f>
        <v>#VALUE!</v>
      </c>
      <c r="AB71" s="70" t="e">
        <f>(Table14[[#This Row],[an wg per fte]]/Table14[[#This Row],[an hrs per fte]]/24)</f>
        <v>#VALUE!</v>
      </c>
    </row>
    <row r="72" spans="1:28" x14ac:dyDescent="0.35">
      <c r="A72" s="327"/>
      <c r="B72" s="330"/>
      <c r="C72" s="227"/>
      <c r="D72" s="227"/>
      <c r="E72" s="227"/>
      <c r="F72" s="310"/>
      <c r="G72" s="388"/>
      <c r="H72" s="228"/>
      <c r="I72"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2" s="37" t="str">
        <f>IFERROR(IF(Table1[[#This Row],[Per (Year /Hr)]]="year","",$J$6*Table1[[#This Row],[Cohort wage (includes BH for hrly staff)]]),"")</f>
        <v/>
      </c>
      <c r="K72" s="184">
        <f>IFERROR(IF(Table1[[#This Row],[Per (Year /Hr)]]="year",Table1[[#This Row],[Cohort wage (includes BH for hrly staff)]],Table1[[#This Row],[Cohort wage (includes BH for hrly staff)]]+Table1[[#This Row],[Hrly staff AL accrual]]),0)</f>
        <v>0</v>
      </c>
      <c r="L72" s="144" t="e">
        <f>((Table1[[#This Row],[Combined hrs per week]]/Table1[[#This Row],['# FTE staff in role]])*($J$3/7))</f>
        <v>#DIV/0!</v>
      </c>
      <c r="M72" s="145" t="e">
        <f>Table1[[#This Row],[Total Wage]]/Table1[[#This Row],['# FTE staff in role]]</f>
        <v>#DIV/0!</v>
      </c>
      <c r="N72" s="145" t="e">
        <f>IF(ISBLANK(Table1[[#This Row],['# FTE staff in role]]),Table1[[#This Row],[Total Wage]]/(Table1[[#This Row],[Combined hrs per week]]*($J$3/7)),(Table1[[#This Row],[an. Wage Per FTE]]/Table1[[#This Row],[an. hrs per fte]]/24))</f>
        <v>#DIV/0!</v>
      </c>
      <c r="O72" s="327" t="str">
        <f>IF(ISBLANK(Table1[[#This Row],[Role]]),"",Table1[[#This Row],[Role]])</f>
        <v/>
      </c>
      <c r="P72" s="309" t="str">
        <f>IF(ISBLANK(Table1[[#This Row],[Role type]]),"",Table1[[#This Row],[Role type]])</f>
        <v/>
      </c>
      <c r="Q72" s="331" t="str">
        <f>IF(ISBLANK(Table1[[#This Row],[Rate]]),"",Table1[[#This Row],[Rate]])</f>
        <v/>
      </c>
      <c r="R72" s="331" t="str">
        <f>IF(ISBLANK(Table1[[#This Row],[Hrly Staff only Bank Hol hrly rate 1]]),"",Table1[[#This Row],[Hrly Staff only Bank Hol hrly rate 1]])</f>
        <v/>
      </c>
      <c r="S72" s="331">
        <f>IF(ISBLANK(Table1[[#This Row],[Hrly Staff only Bank Hol hrly rate 2]]),0,Table1[[#This Row],[Hrly Staff only Bank Hol hrly rate 2]])</f>
        <v>0</v>
      </c>
      <c r="T72" s="331" t="str">
        <f>IF(ISBLANK(Table1[[#This Row],[Per (Year /Hr)]]),"",Table1[[#This Row],[Per (Year /Hr)]])</f>
        <v/>
      </c>
      <c r="U72" s="455" t="str">
        <f>IF(ISBLANK(Table1[[#This Row],['# FTE staff in role]]),"",Table1[[#This Row],['# FTE staff in role]])</f>
        <v/>
      </c>
      <c r="V72" s="317" t="str">
        <f>IF(ISBLANK(Table1[[#This Row],[Combined hrs per week]]),"",Table1[[#This Row],[Combined hrs per week]])</f>
        <v/>
      </c>
      <c r="W72"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2" s="37" t="str">
        <f>IFERROR(IF(Table14[[#This Row],[Per]]="year","",$X$6*Table14[[#This Row],[Cohort Wage (includes BH for hrly rate staff)]]),"")</f>
        <v/>
      </c>
      <c r="Y72" s="38">
        <f>IFERROR(IF(Table14[[#This Row],[Per]]="year",Table14[[#This Row],[Cohort Wage (includes BH for hrly rate staff)]],Table14[[#This Row],[Cohort Wage (includes BH for hrly rate staff)]]+Table14[[#This Row],[Hrly staff AL accrual]]),0)</f>
        <v>0</v>
      </c>
      <c r="Z72" s="70" t="e">
        <f>((Table14[Revised Combined hrs per week]/Table14[Revised '# Staff in role])*($X$3/7))</f>
        <v>#VALUE!</v>
      </c>
      <c r="AA72" s="70" t="e">
        <f>Table14[[#This Row],[Total Wage]]/Table14[Revised '# Staff in role]</f>
        <v>#VALUE!</v>
      </c>
      <c r="AB72" s="70" t="e">
        <f>(Table14[[#This Row],[an wg per fte]]/Table14[[#This Row],[an hrs per fte]]/24)</f>
        <v>#VALUE!</v>
      </c>
    </row>
    <row r="73" spans="1:28" x14ac:dyDescent="0.35">
      <c r="A73" s="327"/>
      <c r="B73" s="330"/>
      <c r="C73" s="227"/>
      <c r="D73" s="227"/>
      <c r="E73" s="227"/>
      <c r="F73" s="310"/>
      <c r="G73" s="388"/>
      <c r="H73" s="228"/>
      <c r="I73"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3" s="37" t="str">
        <f>IFERROR(IF(Table1[[#This Row],[Per (Year /Hr)]]="year","",$J$6*Table1[[#This Row],[Cohort wage (includes BH for hrly staff)]]),"")</f>
        <v/>
      </c>
      <c r="K73" s="184">
        <f>IFERROR(IF(Table1[[#This Row],[Per (Year /Hr)]]="year",Table1[[#This Row],[Cohort wage (includes BH for hrly staff)]],Table1[[#This Row],[Cohort wage (includes BH for hrly staff)]]+Table1[[#This Row],[Hrly staff AL accrual]]),0)</f>
        <v>0</v>
      </c>
      <c r="L73" s="144" t="e">
        <f>((Table1[[#This Row],[Combined hrs per week]]/Table1[[#This Row],['# FTE staff in role]])*($J$3/7))</f>
        <v>#DIV/0!</v>
      </c>
      <c r="M73" s="145" t="e">
        <f>Table1[[#This Row],[Total Wage]]/Table1[[#This Row],['# FTE staff in role]]</f>
        <v>#DIV/0!</v>
      </c>
      <c r="N73" s="145" t="e">
        <f>IF(ISBLANK(Table1[[#This Row],['# FTE staff in role]]),Table1[[#This Row],[Total Wage]]/(Table1[[#This Row],[Combined hrs per week]]*($J$3/7)),(Table1[[#This Row],[an. Wage Per FTE]]/Table1[[#This Row],[an. hrs per fte]]/24))</f>
        <v>#DIV/0!</v>
      </c>
      <c r="O73" s="327" t="str">
        <f>IF(ISBLANK(Table1[[#This Row],[Role]]),"",Table1[[#This Row],[Role]])</f>
        <v/>
      </c>
      <c r="P73" s="309" t="str">
        <f>IF(ISBLANK(Table1[[#This Row],[Role type]]),"",Table1[[#This Row],[Role type]])</f>
        <v/>
      </c>
      <c r="Q73" s="331" t="str">
        <f>IF(ISBLANK(Table1[[#This Row],[Rate]]),"",Table1[[#This Row],[Rate]])</f>
        <v/>
      </c>
      <c r="R73" s="331" t="str">
        <f>IF(ISBLANK(Table1[[#This Row],[Hrly Staff only Bank Hol hrly rate 1]]),"",Table1[[#This Row],[Hrly Staff only Bank Hol hrly rate 1]])</f>
        <v/>
      </c>
      <c r="S73" s="331">
        <f>IF(ISBLANK(Table1[[#This Row],[Hrly Staff only Bank Hol hrly rate 2]]),0,Table1[[#This Row],[Hrly Staff only Bank Hol hrly rate 2]])</f>
        <v>0</v>
      </c>
      <c r="T73" s="331" t="str">
        <f>IF(ISBLANK(Table1[[#This Row],[Per (Year /Hr)]]),"",Table1[[#This Row],[Per (Year /Hr)]])</f>
        <v/>
      </c>
      <c r="U73" s="455" t="str">
        <f>IF(ISBLANK(Table1[[#This Row],['# FTE staff in role]]),"",Table1[[#This Row],['# FTE staff in role]])</f>
        <v/>
      </c>
      <c r="V73" s="317" t="str">
        <f>IF(ISBLANK(Table1[[#This Row],[Combined hrs per week]]),"",Table1[[#This Row],[Combined hrs per week]])</f>
        <v/>
      </c>
      <c r="W73"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3" s="37" t="str">
        <f>IFERROR(IF(Table14[[#This Row],[Per]]="year","",$X$6*Table14[[#This Row],[Cohort Wage (includes BH for hrly rate staff)]]),"")</f>
        <v/>
      </c>
      <c r="Y73" s="38">
        <f>IFERROR(IF(Table14[[#This Row],[Per]]="year",Table14[[#This Row],[Cohort Wage (includes BH for hrly rate staff)]],Table14[[#This Row],[Cohort Wage (includes BH for hrly rate staff)]]+Table14[[#This Row],[Hrly staff AL accrual]]),0)</f>
        <v>0</v>
      </c>
      <c r="Z73" s="70" t="e">
        <f>((Table14[Revised Combined hrs per week]/Table14[Revised '# Staff in role])*($X$3/7))</f>
        <v>#VALUE!</v>
      </c>
      <c r="AA73" s="70" t="e">
        <f>Table14[[#This Row],[Total Wage]]/Table14[Revised '# Staff in role]</f>
        <v>#VALUE!</v>
      </c>
      <c r="AB73" s="70" t="e">
        <f>(Table14[[#This Row],[an wg per fte]]/Table14[[#This Row],[an hrs per fte]]/24)</f>
        <v>#VALUE!</v>
      </c>
    </row>
    <row r="74" spans="1:28" x14ac:dyDescent="0.35">
      <c r="A74" s="327"/>
      <c r="B74" s="330"/>
      <c r="C74" s="227"/>
      <c r="D74" s="227"/>
      <c r="E74" s="227"/>
      <c r="F74" s="310"/>
      <c r="G74" s="388"/>
      <c r="H74" s="228"/>
      <c r="I74"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4" s="37" t="str">
        <f>IFERROR(IF(Table1[[#This Row],[Per (Year /Hr)]]="year","",$J$6*Table1[[#This Row],[Cohort wage (includes BH for hrly staff)]]),"")</f>
        <v/>
      </c>
      <c r="K74" s="184">
        <f>IFERROR(IF(Table1[[#This Row],[Per (Year /Hr)]]="year",Table1[[#This Row],[Cohort wage (includes BH for hrly staff)]],Table1[[#This Row],[Cohort wage (includes BH for hrly staff)]]+Table1[[#This Row],[Hrly staff AL accrual]]),0)</f>
        <v>0</v>
      </c>
      <c r="L74" s="144" t="e">
        <f>((Table1[[#This Row],[Combined hrs per week]]/Table1[[#This Row],['# FTE staff in role]])*($J$3/7))</f>
        <v>#DIV/0!</v>
      </c>
      <c r="M74" s="145" t="e">
        <f>Table1[[#This Row],[Total Wage]]/Table1[[#This Row],['# FTE staff in role]]</f>
        <v>#DIV/0!</v>
      </c>
      <c r="N74" s="145" t="e">
        <f>IF(ISBLANK(Table1[[#This Row],['# FTE staff in role]]),Table1[[#This Row],[Total Wage]]/(Table1[[#This Row],[Combined hrs per week]]*($J$3/7)),(Table1[[#This Row],[an. Wage Per FTE]]/Table1[[#This Row],[an. hrs per fte]]/24))</f>
        <v>#DIV/0!</v>
      </c>
      <c r="O74" s="327" t="str">
        <f>IF(ISBLANK(Table1[[#This Row],[Role]]),"",Table1[[#This Row],[Role]])</f>
        <v/>
      </c>
      <c r="P74" s="309" t="str">
        <f>IF(ISBLANK(Table1[[#This Row],[Role type]]),"",Table1[[#This Row],[Role type]])</f>
        <v/>
      </c>
      <c r="Q74" s="331" t="str">
        <f>IF(ISBLANK(Table1[[#This Row],[Rate]]),"",Table1[[#This Row],[Rate]])</f>
        <v/>
      </c>
      <c r="R74" s="331" t="str">
        <f>IF(ISBLANK(Table1[[#This Row],[Hrly Staff only Bank Hol hrly rate 1]]),"",Table1[[#This Row],[Hrly Staff only Bank Hol hrly rate 1]])</f>
        <v/>
      </c>
      <c r="S74" s="331">
        <f>IF(ISBLANK(Table1[[#This Row],[Hrly Staff only Bank Hol hrly rate 2]]),0,Table1[[#This Row],[Hrly Staff only Bank Hol hrly rate 2]])</f>
        <v>0</v>
      </c>
      <c r="T74" s="331" t="str">
        <f>IF(ISBLANK(Table1[[#This Row],[Per (Year /Hr)]]),"",Table1[[#This Row],[Per (Year /Hr)]])</f>
        <v/>
      </c>
      <c r="U74" s="455" t="str">
        <f>IF(ISBLANK(Table1[[#This Row],['# FTE staff in role]]),"",Table1[[#This Row],['# FTE staff in role]])</f>
        <v/>
      </c>
      <c r="V74" s="317" t="str">
        <f>IF(ISBLANK(Table1[[#This Row],[Combined hrs per week]]),"",Table1[[#This Row],[Combined hrs per week]])</f>
        <v/>
      </c>
      <c r="W74"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4" s="37" t="str">
        <f>IFERROR(IF(Table14[[#This Row],[Per]]="year","",$X$6*Table14[[#This Row],[Cohort Wage (includes BH for hrly rate staff)]]),"")</f>
        <v/>
      </c>
      <c r="Y74" s="38">
        <f>IFERROR(IF(Table14[[#This Row],[Per]]="year",Table14[[#This Row],[Cohort Wage (includes BH for hrly rate staff)]],Table14[[#This Row],[Cohort Wage (includes BH for hrly rate staff)]]+Table14[[#This Row],[Hrly staff AL accrual]]),0)</f>
        <v>0</v>
      </c>
      <c r="Z74" s="70" t="e">
        <f>((Table14[Revised Combined hrs per week]/Table14[Revised '# Staff in role])*($X$3/7))</f>
        <v>#VALUE!</v>
      </c>
      <c r="AA74" s="70" t="e">
        <f>Table14[[#This Row],[Total Wage]]/Table14[Revised '# Staff in role]</f>
        <v>#VALUE!</v>
      </c>
      <c r="AB74" s="70" t="e">
        <f>(Table14[[#This Row],[an wg per fte]]/Table14[[#This Row],[an hrs per fte]]/24)</f>
        <v>#VALUE!</v>
      </c>
    </row>
    <row r="75" spans="1:28" x14ac:dyDescent="0.35">
      <c r="A75" s="327"/>
      <c r="B75" s="330"/>
      <c r="C75" s="227"/>
      <c r="D75" s="227"/>
      <c r="E75" s="227"/>
      <c r="F75" s="310"/>
      <c r="G75" s="388"/>
      <c r="H75" s="228"/>
      <c r="I75"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5" s="37" t="str">
        <f>IFERROR(IF(Table1[[#This Row],[Per (Year /Hr)]]="year","",$J$6*Table1[[#This Row],[Cohort wage (includes BH for hrly staff)]]),"")</f>
        <v/>
      </c>
      <c r="K75" s="184">
        <f>IFERROR(IF(Table1[[#This Row],[Per (Year /Hr)]]="year",Table1[[#This Row],[Cohort wage (includes BH for hrly staff)]],Table1[[#This Row],[Cohort wage (includes BH for hrly staff)]]+Table1[[#This Row],[Hrly staff AL accrual]]),0)</f>
        <v>0</v>
      </c>
      <c r="L75" s="144" t="e">
        <f>((Table1[[#This Row],[Combined hrs per week]]/Table1[[#This Row],['# FTE staff in role]])*($J$3/7))</f>
        <v>#DIV/0!</v>
      </c>
      <c r="M75" s="145" t="e">
        <f>Table1[[#This Row],[Total Wage]]/Table1[[#This Row],['# FTE staff in role]]</f>
        <v>#DIV/0!</v>
      </c>
      <c r="N75" s="145" t="e">
        <f>IF(ISBLANK(Table1[[#This Row],['# FTE staff in role]]),Table1[[#This Row],[Total Wage]]/(Table1[[#This Row],[Combined hrs per week]]*($J$3/7)),(Table1[[#This Row],[an. Wage Per FTE]]/Table1[[#This Row],[an. hrs per fte]]/24))</f>
        <v>#DIV/0!</v>
      </c>
      <c r="O75" s="327" t="str">
        <f>IF(ISBLANK(Table1[[#This Row],[Role]]),"",Table1[[#This Row],[Role]])</f>
        <v/>
      </c>
      <c r="P75" s="309" t="str">
        <f>IF(ISBLANK(Table1[[#This Row],[Role type]]),"",Table1[[#This Row],[Role type]])</f>
        <v/>
      </c>
      <c r="Q75" s="331" t="str">
        <f>IF(ISBLANK(Table1[[#This Row],[Rate]]),"",Table1[[#This Row],[Rate]])</f>
        <v/>
      </c>
      <c r="R75" s="331" t="str">
        <f>IF(ISBLANK(Table1[[#This Row],[Hrly Staff only Bank Hol hrly rate 1]]),"",Table1[[#This Row],[Hrly Staff only Bank Hol hrly rate 1]])</f>
        <v/>
      </c>
      <c r="S75" s="331">
        <f>IF(ISBLANK(Table1[[#This Row],[Hrly Staff only Bank Hol hrly rate 2]]),0,Table1[[#This Row],[Hrly Staff only Bank Hol hrly rate 2]])</f>
        <v>0</v>
      </c>
      <c r="T75" s="331" t="str">
        <f>IF(ISBLANK(Table1[[#This Row],[Per (Year /Hr)]]),"",Table1[[#This Row],[Per (Year /Hr)]])</f>
        <v/>
      </c>
      <c r="U75" s="455" t="str">
        <f>IF(ISBLANK(Table1[[#This Row],['# FTE staff in role]]),"",Table1[[#This Row],['# FTE staff in role]])</f>
        <v/>
      </c>
      <c r="V75" s="317" t="str">
        <f>IF(ISBLANK(Table1[[#This Row],[Combined hrs per week]]),"",Table1[[#This Row],[Combined hrs per week]])</f>
        <v/>
      </c>
      <c r="W75"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5" s="37" t="str">
        <f>IFERROR(IF(Table14[[#This Row],[Per]]="year","",$X$6*Table14[[#This Row],[Cohort Wage (includes BH for hrly rate staff)]]),"")</f>
        <v/>
      </c>
      <c r="Y75" s="38">
        <f>IFERROR(IF(Table14[[#This Row],[Per]]="year",Table14[[#This Row],[Cohort Wage (includes BH for hrly rate staff)]],Table14[[#This Row],[Cohort Wage (includes BH for hrly rate staff)]]+Table14[[#This Row],[Hrly staff AL accrual]]),0)</f>
        <v>0</v>
      </c>
      <c r="Z75" s="70" t="e">
        <f>((Table14[Revised Combined hrs per week]/Table14[Revised '# Staff in role])*($X$3/7))</f>
        <v>#VALUE!</v>
      </c>
      <c r="AA75" s="70" t="e">
        <f>Table14[[#This Row],[Total Wage]]/Table14[Revised '# Staff in role]</f>
        <v>#VALUE!</v>
      </c>
      <c r="AB75" s="70" t="e">
        <f>(Table14[[#This Row],[an wg per fte]]/Table14[[#This Row],[an hrs per fte]]/24)</f>
        <v>#VALUE!</v>
      </c>
    </row>
    <row r="76" spans="1:28" x14ac:dyDescent="0.35">
      <c r="A76" s="327"/>
      <c r="B76" s="330"/>
      <c r="C76" s="227"/>
      <c r="D76" s="227"/>
      <c r="E76" s="227"/>
      <c r="F76" s="310"/>
      <c r="G76" s="388"/>
      <c r="H76" s="228"/>
      <c r="I76"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6" s="37" t="str">
        <f>IFERROR(IF(Table1[[#This Row],[Per (Year /Hr)]]="year","",$J$6*Table1[[#This Row],[Cohort wage (includes BH for hrly staff)]]),"")</f>
        <v/>
      </c>
      <c r="K76" s="184">
        <f>IFERROR(IF(Table1[[#This Row],[Per (Year /Hr)]]="year",Table1[[#This Row],[Cohort wage (includes BH for hrly staff)]],Table1[[#This Row],[Cohort wage (includes BH for hrly staff)]]+Table1[[#This Row],[Hrly staff AL accrual]]),0)</f>
        <v>0</v>
      </c>
      <c r="L76" s="144" t="e">
        <f>((Table1[[#This Row],[Combined hrs per week]]/Table1[[#This Row],['# FTE staff in role]])*($J$3/7))</f>
        <v>#DIV/0!</v>
      </c>
      <c r="M76" s="145" t="e">
        <f>Table1[[#This Row],[Total Wage]]/Table1[[#This Row],['# FTE staff in role]]</f>
        <v>#DIV/0!</v>
      </c>
      <c r="N76" s="145" t="e">
        <f>IF(ISBLANK(Table1[[#This Row],['# FTE staff in role]]),Table1[[#This Row],[Total Wage]]/(Table1[[#This Row],[Combined hrs per week]]*($J$3/7)),(Table1[[#This Row],[an. Wage Per FTE]]/Table1[[#This Row],[an. hrs per fte]]/24))</f>
        <v>#DIV/0!</v>
      </c>
      <c r="O76" s="327" t="str">
        <f>IF(ISBLANK(Table1[[#This Row],[Role]]),"",Table1[[#This Row],[Role]])</f>
        <v/>
      </c>
      <c r="P76" s="309" t="str">
        <f>IF(ISBLANK(Table1[[#This Row],[Role type]]),"",Table1[[#This Row],[Role type]])</f>
        <v/>
      </c>
      <c r="Q76" s="331" t="str">
        <f>IF(ISBLANK(Table1[[#This Row],[Rate]]),"",Table1[[#This Row],[Rate]])</f>
        <v/>
      </c>
      <c r="R76" s="331" t="str">
        <f>IF(ISBLANK(Table1[[#This Row],[Hrly Staff only Bank Hol hrly rate 1]]),"",Table1[[#This Row],[Hrly Staff only Bank Hol hrly rate 1]])</f>
        <v/>
      </c>
      <c r="S76" s="331">
        <f>IF(ISBLANK(Table1[[#This Row],[Hrly Staff only Bank Hol hrly rate 2]]),0,Table1[[#This Row],[Hrly Staff only Bank Hol hrly rate 2]])</f>
        <v>0</v>
      </c>
      <c r="T76" s="331" t="str">
        <f>IF(ISBLANK(Table1[[#This Row],[Per (Year /Hr)]]),"",Table1[[#This Row],[Per (Year /Hr)]])</f>
        <v/>
      </c>
      <c r="U76" s="455" t="str">
        <f>IF(ISBLANK(Table1[[#This Row],['# FTE staff in role]]),"",Table1[[#This Row],['# FTE staff in role]])</f>
        <v/>
      </c>
      <c r="V76" s="317" t="str">
        <f>IF(ISBLANK(Table1[[#This Row],[Combined hrs per week]]),"",Table1[[#This Row],[Combined hrs per week]])</f>
        <v/>
      </c>
      <c r="W76"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6" s="37" t="str">
        <f>IFERROR(IF(Table14[[#This Row],[Per]]="year","",$X$6*Table14[[#This Row],[Cohort Wage (includes BH for hrly rate staff)]]),"")</f>
        <v/>
      </c>
      <c r="Y76" s="38">
        <f>IFERROR(IF(Table14[[#This Row],[Per]]="year",Table14[[#This Row],[Cohort Wage (includes BH for hrly rate staff)]],Table14[[#This Row],[Cohort Wage (includes BH for hrly rate staff)]]+Table14[[#This Row],[Hrly staff AL accrual]]),0)</f>
        <v>0</v>
      </c>
      <c r="Z76" s="70" t="e">
        <f>((Table14[Revised Combined hrs per week]/Table14[Revised '# Staff in role])*($X$3/7))</f>
        <v>#VALUE!</v>
      </c>
      <c r="AA76" s="70" t="e">
        <f>Table14[[#This Row],[Total Wage]]/Table14[Revised '# Staff in role]</f>
        <v>#VALUE!</v>
      </c>
      <c r="AB76" s="70" t="e">
        <f>(Table14[[#This Row],[an wg per fte]]/Table14[[#This Row],[an hrs per fte]]/24)</f>
        <v>#VALUE!</v>
      </c>
    </row>
    <row r="77" spans="1:28" x14ac:dyDescent="0.35">
      <c r="A77" s="327"/>
      <c r="B77" s="330"/>
      <c r="C77" s="227"/>
      <c r="D77" s="227"/>
      <c r="E77" s="227"/>
      <c r="F77" s="310"/>
      <c r="G77" s="388"/>
      <c r="H77" s="228"/>
      <c r="I77"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7" s="37" t="str">
        <f>IFERROR(IF(Table1[[#This Row],[Per (Year /Hr)]]="year","",$J$6*Table1[[#This Row],[Cohort wage (includes BH for hrly staff)]]),"")</f>
        <v/>
      </c>
      <c r="K77" s="184">
        <f>IFERROR(IF(Table1[[#This Row],[Per (Year /Hr)]]="year",Table1[[#This Row],[Cohort wage (includes BH for hrly staff)]],Table1[[#This Row],[Cohort wage (includes BH for hrly staff)]]+Table1[[#This Row],[Hrly staff AL accrual]]),0)</f>
        <v>0</v>
      </c>
      <c r="L77" s="144" t="e">
        <f>((Table1[[#This Row],[Combined hrs per week]]/Table1[[#This Row],['# FTE staff in role]])*($J$3/7))</f>
        <v>#DIV/0!</v>
      </c>
      <c r="M77" s="145" t="e">
        <f>Table1[[#This Row],[Total Wage]]/Table1[[#This Row],['# FTE staff in role]]</f>
        <v>#DIV/0!</v>
      </c>
      <c r="N77" s="145" t="e">
        <f>IF(ISBLANK(Table1[[#This Row],['# FTE staff in role]]),Table1[[#This Row],[Total Wage]]/(Table1[[#This Row],[Combined hrs per week]]*($J$3/7)),(Table1[[#This Row],[an. Wage Per FTE]]/Table1[[#This Row],[an. hrs per fte]]/24))</f>
        <v>#DIV/0!</v>
      </c>
      <c r="O77" s="327" t="str">
        <f>IF(ISBLANK(Table1[[#This Row],[Role]]),"",Table1[[#This Row],[Role]])</f>
        <v/>
      </c>
      <c r="P77" s="309" t="str">
        <f>IF(ISBLANK(Table1[[#This Row],[Role type]]),"",Table1[[#This Row],[Role type]])</f>
        <v/>
      </c>
      <c r="Q77" s="331" t="str">
        <f>IF(ISBLANK(Table1[[#This Row],[Rate]]),"",Table1[[#This Row],[Rate]])</f>
        <v/>
      </c>
      <c r="R77" s="331" t="str">
        <f>IF(ISBLANK(Table1[[#This Row],[Hrly Staff only Bank Hol hrly rate 1]]),"",Table1[[#This Row],[Hrly Staff only Bank Hol hrly rate 1]])</f>
        <v/>
      </c>
      <c r="S77" s="331">
        <f>IF(ISBLANK(Table1[[#This Row],[Hrly Staff only Bank Hol hrly rate 2]]),0,Table1[[#This Row],[Hrly Staff only Bank Hol hrly rate 2]])</f>
        <v>0</v>
      </c>
      <c r="T77" s="331" t="str">
        <f>IF(ISBLANK(Table1[[#This Row],[Per (Year /Hr)]]),"",Table1[[#This Row],[Per (Year /Hr)]])</f>
        <v/>
      </c>
      <c r="U77" s="455" t="str">
        <f>IF(ISBLANK(Table1[[#This Row],['# FTE staff in role]]),"",Table1[[#This Row],['# FTE staff in role]])</f>
        <v/>
      </c>
      <c r="V77" s="317" t="str">
        <f>IF(ISBLANK(Table1[[#This Row],[Combined hrs per week]]),"",Table1[[#This Row],[Combined hrs per week]])</f>
        <v/>
      </c>
      <c r="W77"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7" s="37" t="str">
        <f>IFERROR(IF(Table14[[#This Row],[Per]]="year","",$X$6*Table14[[#This Row],[Cohort Wage (includes BH for hrly rate staff)]]),"")</f>
        <v/>
      </c>
      <c r="Y77" s="38">
        <f>IFERROR(IF(Table14[[#This Row],[Per]]="year",Table14[[#This Row],[Cohort Wage (includes BH for hrly rate staff)]],Table14[[#This Row],[Cohort Wage (includes BH for hrly rate staff)]]+Table14[[#This Row],[Hrly staff AL accrual]]),0)</f>
        <v>0</v>
      </c>
      <c r="Z77" s="70" t="e">
        <f>((Table14[Revised Combined hrs per week]/Table14[Revised '# Staff in role])*($X$3/7))</f>
        <v>#VALUE!</v>
      </c>
      <c r="AA77" s="70" t="e">
        <f>Table14[[#This Row],[Total Wage]]/Table14[Revised '# Staff in role]</f>
        <v>#VALUE!</v>
      </c>
      <c r="AB77" s="70" t="e">
        <f>(Table14[[#This Row],[an wg per fte]]/Table14[[#This Row],[an hrs per fte]]/24)</f>
        <v>#VALUE!</v>
      </c>
    </row>
    <row r="78" spans="1:28" x14ac:dyDescent="0.35">
      <c r="A78" s="327"/>
      <c r="B78" s="330"/>
      <c r="C78" s="227"/>
      <c r="D78" s="227"/>
      <c r="E78" s="227"/>
      <c r="F78" s="310"/>
      <c r="G78" s="388"/>
      <c r="H78" s="228"/>
      <c r="I78"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8" s="37" t="str">
        <f>IFERROR(IF(Table1[[#This Row],[Per (Year /Hr)]]="year","",$J$6*Table1[[#This Row],[Cohort wage (includes BH for hrly staff)]]),"")</f>
        <v/>
      </c>
      <c r="K78" s="184">
        <f>IFERROR(IF(Table1[[#This Row],[Per (Year /Hr)]]="year",Table1[[#This Row],[Cohort wage (includes BH for hrly staff)]],Table1[[#This Row],[Cohort wage (includes BH for hrly staff)]]+Table1[[#This Row],[Hrly staff AL accrual]]),0)</f>
        <v>0</v>
      </c>
      <c r="L78" s="144" t="e">
        <f>((Table1[[#This Row],[Combined hrs per week]]/Table1[[#This Row],['# FTE staff in role]])*($J$3/7))</f>
        <v>#DIV/0!</v>
      </c>
      <c r="M78" s="145" t="e">
        <f>Table1[[#This Row],[Total Wage]]/Table1[[#This Row],['# FTE staff in role]]</f>
        <v>#DIV/0!</v>
      </c>
      <c r="N78" s="145" t="e">
        <f>IF(ISBLANK(Table1[[#This Row],['# FTE staff in role]]),Table1[[#This Row],[Total Wage]]/(Table1[[#This Row],[Combined hrs per week]]*($J$3/7)),(Table1[[#This Row],[an. Wage Per FTE]]/Table1[[#This Row],[an. hrs per fte]]/24))</f>
        <v>#DIV/0!</v>
      </c>
      <c r="O78" s="327" t="str">
        <f>IF(ISBLANK(Table1[[#This Row],[Role]]),"",Table1[[#This Row],[Role]])</f>
        <v/>
      </c>
      <c r="P78" s="309" t="str">
        <f>IF(ISBLANK(Table1[[#This Row],[Role type]]),"",Table1[[#This Row],[Role type]])</f>
        <v/>
      </c>
      <c r="Q78" s="331" t="str">
        <f>IF(ISBLANK(Table1[[#This Row],[Rate]]),"",Table1[[#This Row],[Rate]])</f>
        <v/>
      </c>
      <c r="R78" s="331" t="str">
        <f>IF(ISBLANK(Table1[[#This Row],[Hrly Staff only Bank Hol hrly rate 1]]),"",Table1[[#This Row],[Hrly Staff only Bank Hol hrly rate 1]])</f>
        <v/>
      </c>
      <c r="S78" s="331">
        <f>IF(ISBLANK(Table1[[#This Row],[Hrly Staff only Bank Hol hrly rate 2]]),0,Table1[[#This Row],[Hrly Staff only Bank Hol hrly rate 2]])</f>
        <v>0</v>
      </c>
      <c r="T78" s="331" t="str">
        <f>IF(ISBLANK(Table1[[#This Row],[Per (Year /Hr)]]),"",Table1[[#This Row],[Per (Year /Hr)]])</f>
        <v/>
      </c>
      <c r="U78" s="455" t="str">
        <f>IF(ISBLANK(Table1[[#This Row],['# FTE staff in role]]),"",Table1[[#This Row],['# FTE staff in role]])</f>
        <v/>
      </c>
      <c r="V78" s="317" t="str">
        <f>IF(ISBLANK(Table1[[#This Row],[Combined hrs per week]]),"",Table1[[#This Row],[Combined hrs per week]])</f>
        <v/>
      </c>
      <c r="W78"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8" s="37" t="str">
        <f>IFERROR(IF(Table14[[#This Row],[Per]]="year","",$X$6*Table14[[#This Row],[Cohort Wage (includes BH for hrly rate staff)]]),"")</f>
        <v/>
      </c>
      <c r="Y78" s="38">
        <f>IFERROR(IF(Table14[[#This Row],[Per]]="year",Table14[[#This Row],[Cohort Wage (includes BH for hrly rate staff)]],Table14[[#This Row],[Cohort Wage (includes BH for hrly rate staff)]]+Table14[[#This Row],[Hrly staff AL accrual]]),0)</f>
        <v>0</v>
      </c>
      <c r="Z78" s="70" t="e">
        <f>((Table14[Revised Combined hrs per week]/Table14[Revised '# Staff in role])*($X$3/7))</f>
        <v>#VALUE!</v>
      </c>
      <c r="AA78" s="70" t="e">
        <f>Table14[[#This Row],[Total Wage]]/Table14[Revised '# Staff in role]</f>
        <v>#VALUE!</v>
      </c>
      <c r="AB78" s="70" t="e">
        <f>(Table14[[#This Row],[an wg per fte]]/Table14[[#This Row],[an hrs per fte]]/24)</f>
        <v>#VALUE!</v>
      </c>
    </row>
    <row r="79" spans="1:28" x14ac:dyDescent="0.35">
      <c r="A79" s="327"/>
      <c r="B79" s="330"/>
      <c r="C79" s="227"/>
      <c r="D79" s="227"/>
      <c r="E79" s="227"/>
      <c r="F79" s="310"/>
      <c r="G79" s="388"/>
      <c r="H79" s="228"/>
      <c r="I79"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79" s="37" t="str">
        <f>IFERROR(IF(Table1[[#This Row],[Per (Year /Hr)]]="year","",$J$6*Table1[[#This Row],[Cohort wage (includes BH for hrly staff)]]),"")</f>
        <v/>
      </c>
      <c r="K79" s="184">
        <f>IFERROR(IF(Table1[[#This Row],[Per (Year /Hr)]]="year",Table1[[#This Row],[Cohort wage (includes BH for hrly staff)]],Table1[[#This Row],[Cohort wage (includes BH for hrly staff)]]+Table1[[#This Row],[Hrly staff AL accrual]]),0)</f>
        <v>0</v>
      </c>
      <c r="L79" s="144" t="e">
        <f>((Table1[[#This Row],[Combined hrs per week]]/Table1[[#This Row],['# FTE staff in role]])*($J$3/7))</f>
        <v>#DIV/0!</v>
      </c>
      <c r="M79" s="145" t="e">
        <f>Table1[[#This Row],[Total Wage]]/Table1[[#This Row],['# FTE staff in role]]</f>
        <v>#DIV/0!</v>
      </c>
      <c r="N79" s="145" t="e">
        <f>IF(ISBLANK(Table1[[#This Row],['# FTE staff in role]]),Table1[[#This Row],[Total Wage]]/(Table1[[#This Row],[Combined hrs per week]]*($J$3/7)),(Table1[[#This Row],[an. Wage Per FTE]]/Table1[[#This Row],[an. hrs per fte]]/24))</f>
        <v>#DIV/0!</v>
      </c>
      <c r="O79" s="327" t="str">
        <f>IF(ISBLANK(Table1[[#This Row],[Role]]),"",Table1[[#This Row],[Role]])</f>
        <v/>
      </c>
      <c r="P79" s="309" t="str">
        <f>IF(ISBLANK(Table1[[#This Row],[Role type]]),"",Table1[[#This Row],[Role type]])</f>
        <v/>
      </c>
      <c r="Q79" s="331" t="str">
        <f>IF(ISBLANK(Table1[[#This Row],[Rate]]),"",Table1[[#This Row],[Rate]])</f>
        <v/>
      </c>
      <c r="R79" s="331" t="str">
        <f>IF(ISBLANK(Table1[[#This Row],[Hrly Staff only Bank Hol hrly rate 1]]),"",Table1[[#This Row],[Hrly Staff only Bank Hol hrly rate 1]])</f>
        <v/>
      </c>
      <c r="S79" s="331">
        <f>IF(ISBLANK(Table1[[#This Row],[Hrly Staff only Bank Hol hrly rate 2]]),0,Table1[[#This Row],[Hrly Staff only Bank Hol hrly rate 2]])</f>
        <v>0</v>
      </c>
      <c r="T79" s="331" t="str">
        <f>IF(ISBLANK(Table1[[#This Row],[Per (Year /Hr)]]),"",Table1[[#This Row],[Per (Year /Hr)]])</f>
        <v/>
      </c>
      <c r="U79" s="455" t="str">
        <f>IF(ISBLANK(Table1[[#This Row],['# FTE staff in role]]),"",Table1[[#This Row],['# FTE staff in role]])</f>
        <v/>
      </c>
      <c r="V79" s="317" t="str">
        <f>IF(ISBLANK(Table1[[#This Row],[Combined hrs per week]]),"",Table1[[#This Row],[Combined hrs per week]])</f>
        <v/>
      </c>
      <c r="W79"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79" s="37" t="str">
        <f>IFERROR(IF(Table14[[#This Row],[Per]]="year","",$X$6*Table14[[#This Row],[Cohort Wage (includes BH for hrly rate staff)]]),"")</f>
        <v/>
      </c>
      <c r="Y79" s="38">
        <f>IFERROR(IF(Table14[[#This Row],[Per]]="year",Table14[[#This Row],[Cohort Wage (includes BH for hrly rate staff)]],Table14[[#This Row],[Cohort Wage (includes BH for hrly rate staff)]]+Table14[[#This Row],[Hrly staff AL accrual]]),0)</f>
        <v>0</v>
      </c>
      <c r="Z79" s="70" t="e">
        <f>((Table14[Revised Combined hrs per week]/Table14[Revised '# Staff in role])*($X$3/7))</f>
        <v>#VALUE!</v>
      </c>
      <c r="AA79" s="70" t="e">
        <f>Table14[[#This Row],[Total Wage]]/Table14[Revised '# Staff in role]</f>
        <v>#VALUE!</v>
      </c>
      <c r="AB79" s="70" t="e">
        <f>(Table14[[#This Row],[an wg per fte]]/Table14[[#This Row],[an hrs per fte]]/24)</f>
        <v>#VALUE!</v>
      </c>
    </row>
    <row r="80" spans="1:28" x14ac:dyDescent="0.35">
      <c r="A80" s="327"/>
      <c r="B80" s="330"/>
      <c r="C80" s="227"/>
      <c r="D80" s="227"/>
      <c r="E80" s="227"/>
      <c r="F80" s="310"/>
      <c r="G80" s="388"/>
      <c r="H80" s="228"/>
      <c r="I80"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0" s="37" t="str">
        <f>IFERROR(IF(Table1[[#This Row],[Per (Year /Hr)]]="year","",$J$6*Table1[[#This Row],[Cohort wage (includes BH for hrly staff)]]),"")</f>
        <v/>
      </c>
      <c r="K80" s="184">
        <f>IFERROR(IF(Table1[[#This Row],[Per (Year /Hr)]]="year",Table1[[#This Row],[Cohort wage (includes BH for hrly staff)]],Table1[[#This Row],[Cohort wage (includes BH for hrly staff)]]+Table1[[#This Row],[Hrly staff AL accrual]]),0)</f>
        <v>0</v>
      </c>
      <c r="L80" s="144" t="e">
        <f>((Table1[[#This Row],[Combined hrs per week]]/Table1[[#This Row],['# FTE staff in role]])*($J$3/7))</f>
        <v>#DIV/0!</v>
      </c>
      <c r="M80" s="145" t="e">
        <f>Table1[[#This Row],[Total Wage]]/Table1[[#This Row],['# FTE staff in role]]</f>
        <v>#DIV/0!</v>
      </c>
      <c r="N80" s="145" t="e">
        <f>IF(ISBLANK(Table1[[#This Row],['# FTE staff in role]]),Table1[[#This Row],[Total Wage]]/(Table1[[#This Row],[Combined hrs per week]]*($J$3/7)),(Table1[[#This Row],[an. Wage Per FTE]]/Table1[[#This Row],[an. hrs per fte]]/24))</f>
        <v>#DIV/0!</v>
      </c>
      <c r="O80" s="327" t="str">
        <f>IF(ISBLANK(Table1[[#This Row],[Role]]),"",Table1[[#This Row],[Role]])</f>
        <v/>
      </c>
      <c r="P80" s="309" t="str">
        <f>IF(ISBLANK(Table1[[#This Row],[Role type]]),"",Table1[[#This Row],[Role type]])</f>
        <v/>
      </c>
      <c r="Q80" s="331" t="str">
        <f>IF(ISBLANK(Table1[[#This Row],[Rate]]),"",Table1[[#This Row],[Rate]])</f>
        <v/>
      </c>
      <c r="R80" s="331" t="str">
        <f>IF(ISBLANK(Table1[[#This Row],[Hrly Staff only Bank Hol hrly rate 1]]),"",Table1[[#This Row],[Hrly Staff only Bank Hol hrly rate 1]])</f>
        <v/>
      </c>
      <c r="S80" s="331">
        <f>IF(ISBLANK(Table1[[#This Row],[Hrly Staff only Bank Hol hrly rate 2]]),0,Table1[[#This Row],[Hrly Staff only Bank Hol hrly rate 2]])</f>
        <v>0</v>
      </c>
      <c r="T80" s="331" t="str">
        <f>IF(ISBLANK(Table1[[#This Row],[Per (Year /Hr)]]),"",Table1[[#This Row],[Per (Year /Hr)]])</f>
        <v/>
      </c>
      <c r="U80" s="455" t="str">
        <f>IF(ISBLANK(Table1[[#This Row],['# FTE staff in role]]),"",Table1[[#This Row],['# FTE staff in role]])</f>
        <v/>
      </c>
      <c r="V80" s="413" t="str">
        <f>IF(ISBLANK(Table1[[#This Row],[Combined hrs per week]]),"",Table1[[#This Row],[Combined hrs per week]])</f>
        <v/>
      </c>
      <c r="W80"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0" s="37" t="str">
        <f>IFERROR(IF(Table14[[#This Row],[Per]]="year","",$X$6*Table14[[#This Row],[Cohort Wage (includes BH for hrly rate staff)]]),"")</f>
        <v/>
      </c>
      <c r="Y80" s="38">
        <f>IFERROR(IF(Table14[[#This Row],[Per]]="year",Table14[[#This Row],[Cohort Wage (includes BH for hrly rate staff)]],Table14[[#This Row],[Cohort Wage (includes BH for hrly rate staff)]]+Table14[[#This Row],[Hrly staff AL accrual]]),0)</f>
        <v>0</v>
      </c>
      <c r="Z80" s="70" t="e">
        <f>((Table14[Revised Combined hrs per week]/Table14[Revised '# Staff in role])*($X$3/7))</f>
        <v>#VALUE!</v>
      </c>
      <c r="AA80" s="70" t="e">
        <f>Table14[[#This Row],[Total Wage]]/Table14[Revised '# Staff in role]</f>
        <v>#VALUE!</v>
      </c>
      <c r="AB80" s="70" t="e">
        <f>(Table14[[#This Row],[an wg per fte]]/Table14[[#This Row],[an hrs per fte]]/24)</f>
        <v>#VALUE!</v>
      </c>
    </row>
    <row r="81" spans="1:28" x14ac:dyDescent="0.35">
      <c r="A81" s="327"/>
      <c r="B81" s="330"/>
      <c r="C81" s="227"/>
      <c r="D81" s="227"/>
      <c r="E81" s="227"/>
      <c r="F81" s="310"/>
      <c r="G81" s="388"/>
      <c r="H81" s="228"/>
      <c r="I81"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1" s="37" t="str">
        <f>IFERROR(IF(Table1[[#This Row],[Per (Year /Hr)]]="year","",$J$6*Table1[[#This Row],[Cohort wage (includes BH for hrly staff)]]),"")</f>
        <v/>
      </c>
      <c r="K81" s="184">
        <f>IFERROR(IF(Table1[[#This Row],[Per (Year /Hr)]]="year",Table1[[#This Row],[Cohort wage (includes BH for hrly staff)]],Table1[[#This Row],[Cohort wage (includes BH for hrly staff)]]+Table1[[#This Row],[Hrly staff AL accrual]]),0)</f>
        <v>0</v>
      </c>
      <c r="L81" s="144" t="e">
        <f>((Table1[[#This Row],[Combined hrs per week]]/Table1[[#This Row],['# FTE staff in role]])*($J$3/7))</f>
        <v>#DIV/0!</v>
      </c>
      <c r="M81" s="145" t="e">
        <f>Table1[[#This Row],[Total Wage]]/Table1[[#This Row],['# FTE staff in role]]</f>
        <v>#DIV/0!</v>
      </c>
      <c r="N81" s="145" t="e">
        <f>IF(ISBLANK(Table1[[#This Row],['# FTE staff in role]]),Table1[[#This Row],[Total Wage]]/(Table1[[#This Row],[Combined hrs per week]]*($J$3/7)),(Table1[[#This Row],[an. Wage Per FTE]]/Table1[[#This Row],[an. hrs per fte]]/24))</f>
        <v>#DIV/0!</v>
      </c>
      <c r="O81" s="327" t="str">
        <f>IF(ISBLANK(Table1[[#This Row],[Role]]),"",Table1[[#This Row],[Role]])</f>
        <v/>
      </c>
      <c r="P81" s="309" t="str">
        <f>IF(ISBLANK(Table1[[#This Row],[Role type]]),"",Table1[[#This Row],[Role type]])</f>
        <v/>
      </c>
      <c r="Q81" s="331" t="str">
        <f>IF(ISBLANK(Table1[[#This Row],[Rate]]),"",Table1[[#This Row],[Rate]])</f>
        <v/>
      </c>
      <c r="R81" s="331" t="str">
        <f>IF(ISBLANK(Table1[[#This Row],[Hrly Staff only Bank Hol hrly rate 1]]),"",Table1[[#This Row],[Hrly Staff only Bank Hol hrly rate 1]])</f>
        <v/>
      </c>
      <c r="S81" s="331">
        <f>IF(ISBLANK(Table1[[#This Row],[Hrly Staff only Bank Hol hrly rate 2]]),0,Table1[[#This Row],[Hrly Staff only Bank Hol hrly rate 2]])</f>
        <v>0</v>
      </c>
      <c r="T81" s="331" t="str">
        <f>IF(ISBLANK(Table1[[#This Row],[Per (Year /Hr)]]),"",Table1[[#This Row],[Per (Year /Hr)]])</f>
        <v/>
      </c>
      <c r="U81" s="455" t="str">
        <f>IF(ISBLANK(Table1[[#This Row],['# FTE staff in role]]),"",Table1[[#This Row],['# FTE staff in role]])</f>
        <v/>
      </c>
      <c r="V81" s="413" t="str">
        <f>IF(ISBLANK(Table1[[#This Row],[Combined hrs per week]]),"",Table1[[#This Row],[Combined hrs per week]])</f>
        <v/>
      </c>
      <c r="W81"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1" s="37" t="str">
        <f>IFERROR(IF(Table14[[#This Row],[Per]]="year","",$X$6*Table14[[#This Row],[Cohort Wage (includes BH for hrly rate staff)]]),"")</f>
        <v/>
      </c>
      <c r="Y81" s="38">
        <f>IFERROR(IF(Table14[[#This Row],[Per]]="year",Table14[[#This Row],[Cohort Wage (includes BH for hrly rate staff)]],Table14[[#This Row],[Cohort Wage (includes BH for hrly rate staff)]]+Table14[[#This Row],[Hrly staff AL accrual]]),0)</f>
        <v>0</v>
      </c>
      <c r="Z81" s="70" t="e">
        <f>((Table14[Revised Combined hrs per week]/Table14[Revised '# Staff in role])*($X$3/7))</f>
        <v>#VALUE!</v>
      </c>
      <c r="AA81" s="70" t="e">
        <f>Table14[[#This Row],[Total Wage]]/Table14[Revised '# Staff in role]</f>
        <v>#VALUE!</v>
      </c>
      <c r="AB81" s="70" t="e">
        <f>(Table14[[#This Row],[an wg per fte]]/Table14[[#This Row],[an hrs per fte]]/24)</f>
        <v>#VALUE!</v>
      </c>
    </row>
    <row r="82" spans="1:28" x14ac:dyDescent="0.35">
      <c r="A82" s="327"/>
      <c r="B82" s="330"/>
      <c r="C82" s="227"/>
      <c r="D82" s="227"/>
      <c r="E82" s="227"/>
      <c r="F82" s="310"/>
      <c r="G82" s="388"/>
      <c r="H82" s="228"/>
      <c r="I82"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2" s="37" t="str">
        <f>IFERROR(IF(Table1[[#This Row],[Per (Year /Hr)]]="year","",$J$6*Table1[[#This Row],[Cohort wage (includes BH for hrly staff)]]),"")</f>
        <v/>
      </c>
      <c r="K82" s="184">
        <f>IFERROR(IF(Table1[[#This Row],[Per (Year /Hr)]]="year",Table1[[#This Row],[Cohort wage (includes BH for hrly staff)]],Table1[[#This Row],[Cohort wage (includes BH for hrly staff)]]+Table1[[#This Row],[Hrly staff AL accrual]]),0)</f>
        <v>0</v>
      </c>
      <c r="L82" s="144" t="e">
        <f>((Table1[[#This Row],[Combined hrs per week]]/Table1[[#This Row],['# FTE staff in role]])*($J$3/7))</f>
        <v>#DIV/0!</v>
      </c>
      <c r="M82" s="145" t="e">
        <f>Table1[[#This Row],[Total Wage]]/Table1[[#This Row],['# FTE staff in role]]</f>
        <v>#DIV/0!</v>
      </c>
      <c r="N82" s="145" t="e">
        <f>IF(ISBLANK(Table1[[#This Row],['# FTE staff in role]]),Table1[[#This Row],[Total Wage]]/(Table1[[#This Row],[Combined hrs per week]]*($J$3/7)),(Table1[[#This Row],[an. Wage Per FTE]]/Table1[[#This Row],[an. hrs per fte]]/24))</f>
        <v>#DIV/0!</v>
      </c>
      <c r="O82" s="327" t="str">
        <f>IF(ISBLANK(Table1[[#This Row],[Role]]),"",Table1[[#This Row],[Role]])</f>
        <v/>
      </c>
      <c r="P82" s="309" t="str">
        <f>IF(ISBLANK(Table1[[#This Row],[Role type]]),"",Table1[[#This Row],[Role type]])</f>
        <v/>
      </c>
      <c r="Q82" s="331" t="str">
        <f>IF(ISBLANK(Table1[[#This Row],[Rate]]),"",Table1[[#This Row],[Rate]])</f>
        <v/>
      </c>
      <c r="R82" s="331" t="str">
        <f>IF(ISBLANK(Table1[[#This Row],[Hrly Staff only Bank Hol hrly rate 1]]),"",Table1[[#This Row],[Hrly Staff only Bank Hol hrly rate 1]])</f>
        <v/>
      </c>
      <c r="S82" s="331">
        <f>IF(ISBLANK(Table1[[#This Row],[Hrly Staff only Bank Hol hrly rate 2]]),0,Table1[[#This Row],[Hrly Staff only Bank Hol hrly rate 2]])</f>
        <v>0</v>
      </c>
      <c r="T82" s="331" t="str">
        <f>IF(ISBLANK(Table1[[#This Row],[Per (Year /Hr)]]),"",Table1[[#This Row],[Per (Year /Hr)]])</f>
        <v/>
      </c>
      <c r="U82" s="455" t="str">
        <f>IF(ISBLANK(Table1[[#This Row],['# FTE staff in role]]),"",Table1[[#This Row],['# FTE staff in role]])</f>
        <v/>
      </c>
      <c r="V82" s="413" t="str">
        <f>IF(ISBLANK(Table1[[#This Row],[Combined hrs per week]]),"",Table1[[#This Row],[Combined hrs per week]])</f>
        <v/>
      </c>
      <c r="W82"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2" s="37" t="str">
        <f>IFERROR(IF(Table14[[#This Row],[Per]]="year","",$X$6*Table14[[#This Row],[Cohort Wage (includes BH for hrly rate staff)]]),"")</f>
        <v/>
      </c>
      <c r="Y82" s="38">
        <f>IFERROR(IF(Table14[[#This Row],[Per]]="year",Table14[[#This Row],[Cohort Wage (includes BH for hrly rate staff)]],Table14[[#This Row],[Cohort Wage (includes BH for hrly rate staff)]]+Table14[[#This Row],[Hrly staff AL accrual]]),0)</f>
        <v>0</v>
      </c>
      <c r="Z82" s="70" t="e">
        <f>((Table14[Revised Combined hrs per week]/Table14[Revised '# Staff in role])*($X$3/7))</f>
        <v>#VALUE!</v>
      </c>
      <c r="AA82" s="70" t="e">
        <f>Table14[[#This Row],[Total Wage]]/Table14[Revised '# Staff in role]</f>
        <v>#VALUE!</v>
      </c>
      <c r="AB82" s="70" t="e">
        <f>(Table14[[#This Row],[an wg per fte]]/Table14[[#This Row],[an hrs per fte]]/24)</f>
        <v>#VALUE!</v>
      </c>
    </row>
    <row r="83" spans="1:28" x14ac:dyDescent="0.35">
      <c r="A83" s="327"/>
      <c r="B83" s="330"/>
      <c r="C83" s="227"/>
      <c r="D83" s="227"/>
      <c r="E83" s="227"/>
      <c r="F83" s="310"/>
      <c r="G83" s="388"/>
      <c r="H83" s="228"/>
      <c r="I83"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3" s="37" t="str">
        <f>IFERROR(IF(Table1[[#This Row],[Per (Year /Hr)]]="year","",$J$6*Table1[[#This Row],[Cohort wage (includes BH for hrly staff)]]),"")</f>
        <v/>
      </c>
      <c r="K83" s="184">
        <f>IFERROR(IF(Table1[[#This Row],[Per (Year /Hr)]]="year",Table1[[#This Row],[Cohort wage (includes BH for hrly staff)]],Table1[[#This Row],[Cohort wage (includes BH for hrly staff)]]+Table1[[#This Row],[Hrly staff AL accrual]]),0)</f>
        <v>0</v>
      </c>
      <c r="L83" s="144" t="e">
        <f>((Table1[[#This Row],[Combined hrs per week]]/Table1[[#This Row],['# FTE staff in role]])*($J$3/7))</f>
        <v>#DIV/0!</v>
      </c>
      <c r="M83" s="145" t="e">
        <f>Table1[[#This Row],[Total Wage]]/Table1[[#This Row],['# FTE staff in role]]</f>
        <v>#DIV/0!</v>
      </c>
      <c r="N83" s="145" t="e">
        <f>IF(ISBLANK(Table1[[#This Row],['# FTE staff in role]]),Table1[[#This Row],[Total Wage]]/(Table1[[#This Row],[Combined hrs per week]]*($J$3/7)),(Table1[[#This Row],[an. Wage Per FTE]]/Table1[[#This Row],[an. hrs per fte]]/24))</f>
        <v>#DIV/0!</v>
      </c>
      <c r="O83" s="327" t="str">
        <f>IF(ISBLANK(Table1[[#This Row],[Role]]),"",Table1[[#This Row],[Role]])</f>
        <v/>
      </c>
      <c r="P83" s="309" t="str">
        <f>IF(ISBLANK(Table1[[#This Row],[Role type]]),"",Table1[[#This Row],[Role type]])</f>
        <v/>
      </c>
      <c r="Q83" s="331" t="str">
        <f>IF(ISBLANK(Table1[[#This Row],[Rate]]),"",Table1[[#This Row],[Rate]])</f>
        <v/>
      </c>
      <c r="R83" s="331" t="str">
        <f>IF(ISBLANK(Table1[[#This Row],[Hrly Staff only Bank Hol hrly rate 1]]),"",Table1[[#This Row],[Hrly Staff only Bank Hol hrly rate 1]])</f>
        <v/>
      </c>
      <c r="S83" s="331">
        <f>IF(ISBLANK(Table1[[#This Row],[Hrly Staff only Bank Hol hrly rate 2]]),0,Table1[[#This Row],[Hrly Staff only Bank Hol hrly rate 2]])</f>
        <v>0</v>
      </c>
      <c r="T83" s="331" t="str">
        <f>IF(ISBLANK(Table1[[#This Row],[Per (Year /Hr)]]),"",Table1[[#This Row],[Per (Year /Hr)]])</f>
        <v/>
      </c>
      <c r="U83" s="455" t="str">
        <f>IF(ISBLANK(Table1[[#This Row],['# FTE staff in role]]),"",Table1[[#This Row],['# FTE staff in role]])</f>
        <v/>
      </c>
      <c r="V83" s="413" t="str">
        <f>IF(ISBLANK(Table1[[#This Row],[Combined hrs per week]]),"",Table1[[#This Row],[Combined hrs per week]])</f>
        <v/>
      </c>
      <c r="W83"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3" s="37" t="str">
        <f>IFERROR(IF(Table14[[#This Row],[Per]]="year","",$X$6*Table14[[#This Row],[Cohort Wage (includes BH for hrly rate staff)]]),"")</f>
        <v/>
      </c>
      <c r="Y83" s="38">
        <f>IFERROR(IF(Table14[[#This Row],[Per]]="year",Table14[[#This Row],[Cohort Wage (includes BH for hrly rate staff)]],Table14[[#This Row],[Cohort Wage (includes BH for hrly rate staff)]]+Table14[[#This Row],[Hrly staff AL accrual]]),0)</f>
        <v>0</v>
      </c>
      <c r="Z83" s="70" t="e">
        <f>((Table14[Revised Combined hrs per week]/Table14[Revised '# Staff in role])*($X$3/7))</f>
        <v>#VALUE!</v>
      </c>
      <c r="AA83" s="70" t="e">
        <f>Table14[[#This Row],[Total Wage]]/Table14[Revised '# Staff in role]</f>
        <v>#VALUE!</v>
      </c>
      <c r="AB83" s="70" t="e">
        <f>(Table14[[#This Row],[an wg per fte]]/Table14[[#This Row],[an hrs per fte]]/24)</f>
        <v>#VALUE!</v>
      </c>
    </row>
    <row r="84" spans="1:28" x14ac:dyDescent="0.35">
      <c r="A84" s="327"/>
      <c r="B84" s="330"/>
      <c r="C84" s="227"/>
      <c r="D84" s="227"/>
      <c r="E84" s="227"/>
      <c r="F84" s="310"/>
      <c r="G84" s="388"/>
      <c r="H84" s="228"/>
      <c r="I84"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4" s="37" t="str">
        <f>IFERROR(IF(Table1[[#This Row],[Per (Year /Hr)]]="year","",$J$6*Table1[[#This Row],[Cohort wage (includes BH for hrly staff)]]),"")</f>
        <v/>
      </c>
      <c r="K84" s="184">
        <f>IFERROR(IF(Table1[[#This Row],[Per (Year /Hr)]]="year",Table1[[#This Row],[Cohort wage (includes BH for hrly staff)]],Table1[[#This Row],[Cohort wage (includes BH for hrly staff)]]+Table1[[#This Row],[Hrly staff AL accrual]]),0)</f>
        <v>0</v>
      </c>
      <c r="L84" s="144" t="e">
        <f>((Table1[[#This Row],[Combined hrs per week]]/Table1[[#This Row],['# FTE staff in role]])*($J$3/7))</f>
        <v>#DIV/0!</v>
      </c>
      <c r="M84" s="145" t="e">
        <f>Table1[[#This Row],[Total Wage]]/Table1[[#This Row],['# FTE staff in role]]</f>
        <v>#DIV/0!</v>
      </c>
      <c r="N84" s="145" t="e">
        <f>IF(ISBLANK(Table1[[#This Row],['# FTE staff in role]]),Table1[[#This Row],[Total Wage]]/(Table1[[#This Row],[Combined hrs per week]]*($J$3/7)),(Table1[[#This Row],[an. Wage Per FTE]]/Table1[[#This Row],[an. hrs per fte]]/24))</f>
        <v>#DIV/0!</v>
      </c>
      <c r="O84" s="327" t="str">
        <f>IF(ISBLANK(Table1[[#This Row],[Role]]),"",Table1[[#This Row],[Role]])</f>
        <v/>
      </c>
      <c r="P84" s="309" t="str">
        <f>IF(ISBLANK(Table1[[#This Row],[Role type]]),"",Table1[[#This Row],[Role type]])</f>
        <v/>
      </c>
      <c r="Q84" s="331" t="str">
        <f>IF(ISBLANK(Table1[[#This Row],[Rate]]),"",Table1[[#This Row],[Rate]])</f>
        <v/>
      </c>
      <c r="R84" s="331" t="str">
        <f>IF(ISBLANK(Table1[[#This Row],[Hrly Staff only Bank Hol hrly rate 1]]),"",Table1[[#This Row],[Hrly Staff only Bank Hol hrly rate 1]])</f>
        <v/>
      </c>
      <c r="S84" s="331">
        <f>IF(ISBLANK(Table1[[#This Row],[Hrly Staff only Bank Hol hrly rate 2]]),0,Table1[[#This Row],[Hrly Staff only Bank Hol hrly rate 2]])</f>
        <v>0</v>
      </c>
      <c r="T84" s="331" t="str">
        <f>IF(ISBLANK(Table1[[#This Row],[Per (Year /Hr)]]),"",Table1[[#This Row],[Per (Year /Hr)]])</f>
        <v/>
      </c>
      <c r="U84" s="455" t="str">
        <f>IF(ISBLANK(Table1[[#This Row],['# FTE staff in role]]),"",Table1[[#This Row],['# FTE staff in role]])</f>
        <v/>
      </c>
      <c r="V84" s="413" t="str">
        <f>IF(ISBLANK(Table1[[#This Row],[Combined hrs per week]]),"",Table1[[#This Row],[Combined hrs per week]])</f>
        <v/>
      </c>
      <c r="W84"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4" s="37" t="str">
        <f>IFERROR(IF(Table14[[#This Row],[Per]]="year","",$X$6*Table14[[#This Row],[Cohort Wage (includes BH for hrly rate staff)]]),"")</f>
        <v/>
      </c>
      <c r="Y84" s="38">
        <f>IFERROR(IF(Table14[[#This Row],[Per]]="year",Table14[[#This Row],[Cohort Wage (includes BH for hrly rate staff)]],Table14[[#This Row],[Cohort Wage (includes BH for hrly rate staff)]]+Table14[[#This Row],[Hrly staff AL accrual]]),0)</f>
        <v>0</v>
      </c>
      <c r="Z84" s="70" t="e">
        <f>((Table14[Revised Combined hrs per week]/Table14[Revised '# Staff in role])*($X$3/7))</f>
        <v>#VALUE!</v>
      </c>
      <c r="AA84" s="70" t="e">
        <f>Table14[[#This Row],[Total Wage]]/Table14[Revised '# Staff in role]</f>
        <v>#VALUE!</v>
      </c>
      <c r="AB84" s="70" t="e">
        <f>(Table14[[#This Row],[an wg per fte]]/Table14[[#This Row],[an hrs per fte]]/24)</f>
        <v>#VALUE!</v>
      </c>
    </row>
    <row r="85" spans="1:28" x14ac:dyDescent="0.35">
      <c r="A85" s="327"/>
      <c r="B85" s="330"/>
      <c r="C85" s="227"/>
      <c r="D85" s="227"/>
      <c r="E85" s="227"/>
      <c r="F85" s="310"/>
      <c r="G85" s="388"/>
      <c r="H85" s="228"/>
      <c r="I85"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5" s="37" t="str">
        <f>IFERROR(IF(Table1[[#This Row],[Per (Year /Hr)]]="year","",$J$6*Table1[[#This Row],[Cohort wage (includes BH for hrly staff)]]),"")</f>
        <v/>
      </c>
      <c r="K85" s="184">
        <f>IFERROR(IF(Table1[[#This Row],[Per (Year /Hr)]]="year",Table1[[#This Row],[Cohort wage (includes BH for hrly staff)]],Table1[[#This Row],[Cohort wage (includes BH for hrly staff)]]+Table1[[#This Row],[Hrly staff AL accrual]]),0)</f>
        <v>0</v>
      </c>
      <c r="L85" s="144" t="e">
        <f>((Table1[[#This Row],[Combined hrs per week]]/Table1[[#This Row],['# FTE staff in role]])*($J$3/7))</f>
        <v>#DIV/0!</v>
      </c>
      <c r="M85" s="145" t="e">
        <f>Table1[[#This Row],[Total Wage]]/Table1[[#This Row],['# FTE staff in role]]</f>
        <v>#DIV/0!</v>
      </c>
      <c r="N85" s="145" t="e">
        <f>IF(ISBLANK(Table1[[#This Row],['# FTE staff in role]]),Table1[[#This Row],[Total Wage]]/(Table1[[#This Row],[Combined hrs per week]]*($J$3/7)),(Table1[[#This Row],[an. Wage Per FTE]]/Table1[[#This Row],[an. hrs per fte]]/24))</f>
        <v>#DIV/0!</v>
      </c>
      <c r="O85" s="327" t="str">
        <f>IF(ISBLANK(Table1[[#This Row],[Role]]),"",Table1[[#This Row],[Role]])</f>
        <v/>
      </c>
      <c r="P85" s="309" t="str">
        <f>IF(ISBLANK(Table1[[#This Row],[Role type]]),"",Table1[[#This Row],[Role type]])</f>
        <v/>
      </c>
      <c r="Q85" s="331" t="str">
        <f>IF(ISBLANK(Table1[[#This Row],[Rate]]),"",Table1[[#This Row],[Rate]])</f>
        <v/>
      </c>
      <c r="R85" s="331" t="str">
        <f>IF(ISBLANK(Table1[[#This Row],[Hrly Staff only Bank Hol hrly rate 1]]),"",Table1[[#This Row],[Hrly Staff only Bank Hol hrly rate 1]])</f>
        <v/>
      </c>
      <c r="S85" s="331">
        <f>IF(ISBLANK(Table1[[#This Row],[Hrly Staff only Bank Hol hrly rate 2]]),0,Table1[[#This Row],[Hrly Staff only Bank Hol hrly rate 2]])</f>
        <v>0</v>
      </c>
      <c r="T85" s="331" t="str">
        <f>IF(ISBLANK(Table1[[#This Row],[Per (Year /Hr)]]),"",Table1[[#This Row],[Per (Year /Hr)]])</f>
        <v/>
      </c>
      <c r="U85" s="455" t="str">
        <f>IF(ISBLANK(Table1[[#This Row],['# FTE staff in role]]),"",Table1[[#This Row],['# FTE staff in role]])</f>
        <v/>
      </c>
      <c r="V85" s="413" t="str">
        <f>IF(ISBLANK(Table1[[#This Row],[Combined hrs per week]]),"",Table1[[#This Row],[Combined hrs per week]])</f>
        <v/>
      </c>
      <c r="W85"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5" s="37" t="str">
        <f>IFERROR(IF(Table14[[#This Row],[Per]]="year","",$X$6*Table14[[#This Row],[Cohort Wage (includes BH for hrly rate staff)]]),"")</f>
        <v/>
      </c>
      <c r="Y85" s="38">
        <f>IFERROR(IF(Table14[[#This Row],[Per]]="year",Table14[[#This Row],[Cohort Wage (includes BH for hrly rate staff)]],Table14[[#This Row],[Cohort Wage (includes BH for hrly rate staff)]]+Table14[[#This Row],[Hrly staff AL accrual]]),0)</f>
        <v>0</v>
      </c>
      <c r="Z85" s="70" t="e">
        <f>((Table14[Revised Combined hrs per week]/Table14[Revised '# Staff in role])*($X$3/7))</f>
        <v>#VALUE!</v>
      </c>
      <c r="AA85" s="70" t="e">
        <f>Table14[[#This Row],[Total Wage]]/Table14[Revised '# Staff in role]</f>
        <v>#VALUE!</v>
      </c>
      <c r="AB85" s="70" t="e">
        <f>(Table14[[#This Row],[an wg per fte]]/Table14[[#This Row],[an hrs per fte]]/24)</f>
        <v>#VALUE!</v>
      </c>
    </row>
    <row r="86" spans="1:28" x14ac:dyDescent="0.35">
      <c r="A86" s="327"/>
      <c r="B86" s="330"/>
      <c r="C86" s="227"/>
      <c r="D86" s="227"/>
      <c r="E86" s="227"/>
      <c r="F86" s="310"/>
      <c r="G86" s="388"/>
      <c r="H86" s="228"/>
      <c r="I86"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6" s="37" t="str">
        <f>IFERROR(IF(Table1[[#This Row],[Per (Year /Hr)]]="year","",$J$6*Table1[[#This Row],[Cohort wage (includes BH for hrly staff)]]),"")</f>
        <v/>
      </c>
      <c r="K86" s="184">
        <f>IFERROR(IF(Table1[[#This Row],[Per (Year /Hr)]]="year",Table1[[#This Row],[Cohort wage (includes BH for hrly staff)]],Table1[[#This Row],[Cohort wage (includes BH for hrly staff)]]+Table1[[#This Row],[Hrly staff AL accrual]]),0)</f>
        <v>0</v>
      </c>
      <c r="L86" s="144" t="e">
        <f>((Table1[[#This Row],[Combined hrs per week]]/Table1[[#This Row],['# FTE staff in role]])*($J$3/7))</f>
        <v>#DIV/0!</v>
      </c>
      <c r="M86" s="145" t="e">
        <f>Table1[[#This Row],[Total Wage]]/Table1[[#This Row],['# FTE staff in role]]</f>
        <v>#DIV/0!</v>
      </c>
      <c r="N86" s="145" t="e">
        <f>IF(ISBLANK(Table1[[#This Row],['# FTE staff in role]]),Table1[[#This Row],[Total Wage]]/(Table1[[#This Row],[Combined hrs per week]]*($J$3/7)),(Table1[[#This Row],[an. Wage Per FTE]]/Table1[[#This Row],[an. hrs per fte]]/24))</f>
        <v>#DIV/0!</v>
      </c>
      <c r="O86" s="327" t="str">
        <f>IF(ISBLANK(Table1[[#This Row],[Role]]),"",Table1[[#This Row],[Role]])</f>
        <v/>
      </c>
      <c r="P86" s="309" t="str">
        <f>IF(ISBLANK(Table1[[#This Row],[Role type]]),"",Table1[[#This Row],[Role type]])</f>
        <v/>
      </c>
      <c r="Q86" s="331" t="str">
        <f>IF(ISBLANK(Table1[[#This Row],[Rate]]),"",Table1[[#This Row],[Rate]])</f>
        <v/>
      </c>
      <c r="R86" s="331" t="str">
        <f>IF(ISBLANK(Table1[[#This Row],[Hrly Staff only Bank Hol hrly rate 1]]),"",Table1[[#This Row],[Hrly Staff only Bank Hol hrly rate 1]])</f>
        <v/>
      </c>
      <c r="S86" s="331">
        <f>IF(ISBLANK(Table1[[#This Row],[Hrly Staff only Bank Hol hrly rate 2]]),0,Table1[[#This Row],[Hrly Staff only Bank Hol hrly rate 2]])</f>
        <v>0</v>
      </c>
      <c r="T86" s="331" t="str">
        <f>IF(ISBLANK(Table1[[#This Row],[Per (Year /Hr)]]),"",Table1[[#This Row],[Per (Year /Hr)]])</f>
        <v/>
      </c>
      <c r="U86" s="455" t="str">
        <f>IF(ISBLANK(Table1[[#This Row],['# FTE staff in role]]),"",Table1[[#This Row],['# FTE staff in role]])</f>
        <v/>
      </c>
      <c r="V86" s="413" t="str">
        <f>IF(ISBLANK(Table1[[#This Row],[Combined hrs per week]]),"",Table1[[#This Row],[Combined hrs per week]])</f>
        <v/>
      </c>
      <c r="W86"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6" s="37" t="str">
        <f>IFERROR(IF(Table14[[#This Row],[Per]]="year","",$X$6*Table14[[#This Row],[Cohort Wage (includes BH for hrly rate staff)]]),"")</f>
        <v/>
      </c>
      <c r="Y86" s="38">
        <f>IFERROR(IF(Table14[[#This Row],[Per]]="year",Table14[[#This Row],[Cohort Wage (includes BH for hrly rate staff)]],Table14[[#This Row],[Cohort Wage (includes BH for hrly rate staff)]]+Table14[[#This Row],[Hrly staff AL accrual]]),0)</f>
        <v>0</v>
      </c>
      <c r="Z86" s="70" t="e">
        <f>((Table14[Revised Combined hrs per week]/Table14[Revised '# Staff in role])*($X$3/7))</f>
        <v>#VALUE!</v>
      </c>
      <c r="AA86" s="70" t="e">
        <f>Table14[[#This Row],[Total Wage]]/Table14[Revised '# Staff in role]</f>
        <v>#VALUE!</v>
      </c>
      <c r="AB86" s="70" t="e">
        <f>(Table14[[#This Row],[an wg per fte]]/Table14[[#This Row],[an hrs per fte]]/24)</f>
        <v>#VALUE!</v>
      </c>
    </row>
    <row r="87" spans="1:28" x14ac:dyDescent="0.35">
      <c r="A87" s="327"/>
      <c r="B87" s="330"/>
      <c r="C87" s="227"/>
      <c r="D87" s="227"/>
      <c r="E87" s="227"/>
      <c r="F87" s="310"/>
      <c r="G87" s="388"/>
      <c r="H87" s="228"/>
      <c r="I87"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7" s="37" t="str">
        <f>IFERROR(IF(Table1[[#This Row],[Per (Year /Hr)]]="year","",$J$6*Table1[[#This Row],[Cohort wage (includes BH for hrly staff)]]),"")</f>
        <v/>
      </c>
      <c r="K87" s="184">
        <f>IFERROR(IF(Table1[[#This Row],[Per (Year /Hr)]]="year",Table1[[#This Row],[Cohort wage (includes BH for hrly staff)]],Table1[[#This Row],[Cohort wage (includes BH for hrly staff)]]+Table1[[#This Row],[Hrly staff AL accrual]]),0)</f>
        <v>0</v>
      </c>
      <c r="L87" s="144" t="e">
        <f>((Table1[[#This Row],[Combined hrs per week]]/Table1[[#This Row],['# FTE staff in role]])*($J$3/7))</f>
        <v>#DIV/0!</v>
      </c>
      <c r="M87" s="145" t="e">
        <f>Table1[[#This Row],[Total Wage]]/Table1[[#This Row],['# FTE staff in role]]</f>
        <v>#DIV/0!</v>
      </c>
      <c r="N87" s="145" t="e">
        <f>IF(ISBLANK(Table1[[#This Row],['# FTE staff in role]]),Table1[[#This Row],[Total Wage]]/(Table1[[#This Row],[Combined hrs per week]]*($J$3/7)),(Table1[[#This Row],[an. Wage Per FTE]]/Table1[[#This Row],[an. hrs per fte]]/24))</f>
        <v>#DIV/0!</v>
      </c>
      <c r="O87" s="327" t="str">
        <f>IF(ISBLANK(Table1[[#This Row],[Role]]),"",Table1[[#This Row],[Role]])</f>
        <v/>
      </c>
      <c r="P87" s="309" t="str">
        <f>IF(ISBLANK(Table1[[#This Row],[Role type]]),"",Table1[[#This Row],[Role type]])</f>
        <v/>
      </c>
      <c r="Q87" s="331" t="str">
        <f>IF(ISBLANK(Table1[[#This Row],[Rate]]),"",Table1[[#This Row],[Rate]])</f>
        <v/>
      </c>
      <c r="R87" s="331" t="str">
        <f>IF(ISBLANK(Table1[[#This Row],[Hrly Staff only Bank Hol hrly rate 1]]),"",Table1[[#This Row],[Hrly Staff only Bank Hol hrly rate 1]])</f>
        <v/>
      </c>
      <c r="S87" s="331">
        <f>IF(ISBLANK(Table1[[#This Row],[Hrly Staff only Bank Hol hrly rate 2]]),0,Table1[[#This Row],[Hrly Staff only Bank Hol hrly rate 2]])</f>
        <v>0</v>
      </c>
      <c r="T87" s="331" t="str">
        <f>IF(ISBLANK(Table1[[#This Row],[Per (Year /Hr)]]),"",Table1[[#This Row],[Per (Year /Hr)]])</f>
        <v/>
      </c>
      <c r="U87" s="455" t="str">
        <f>IF(ISBLANK(Table1[[#This Row],['# FTE staff in role]]),"",Table1[[#This Row],['# FTE staff in role]])</f>
        <v/>
      </c>
      <c r="V87" s="413" t="str">
        <f>IF(ISBLANK(Table1[[#This Row],[Combined hrs per week]]),"",Table1[[#This Row],[Combined hrs per week]])</f>
        <v/>
      </c>
      <c r="W87"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7" s="37" t="str">
        <f>IFERROR(IF(Table14[[#This Row],[Per]]="year","",$X$6*Table14[[#This Row],[Cohort Wage (includes BH for hrly rate staff)]]),"")</f>
        <v/>
      </c>
      <c r="Y87" s="38">
        <f>IFERROR(IF(Table14[[#This Row],[Per]]="year",Table14[[#This Row],[Cohort Wage (includes BH for hrly rate staff)]],Table14[[#This Row],[Cohort Wage (includes BH for hrly rate staff)]]+Table14[[#This Row],[Hrly staff AL accrual]]),0)</f>
        <v>0</v>
      </c>
      <c r="Z87" s="70" t="e">
        <f>((Table14[Revised Combined hrs per week]/Table14[Revised '# Staff in role])*($X$3/7))</f>
        <v>#VALUE!</v>
      </c>
      <c r="AA87" s="70" t="e">
        <f>Table14[[#This Row],[Total Wage]]/Table14[Revised '# Staff in role]</f>
        <v>#VALUE!</v>
      </c>
      <c r="AB87" s="70" t="e">
        <f>(Table14[[#This Row],[an wg per fte]]/Table14[[#This Row],[an hrs per fte]]/24)</f>
        <v>#VALUE!</v>
      </c>
    </row>
    <row r="88" spans="1:28" x14ac:dyDescent="0.35">
      <c r="A88" s="327"/>
      <c r="B88" s="330"/>
      <c r="C88" s="227"/>
      <c r="D88" s="227"/>
      <c r="E88" s="227"/>
      <c r="F88" s="310"/>
      <c r="G88" s="388"/>
      <c r="H88" s="228"/>
      <c r="I88"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8" s="37" t="str">
        <f>IFERROR(IF(Table1[[#This Row],[Per (Year /Hr)]]="year","",$J$6*Table1[[#This Row],[Cohort wage (includes BH for hrly staff)]]),"")</f>
        <v/>
      </c>
      <c r="K88" s="184">
        <f>IFERROR(IF(Table1[[#This Row],[Per (Year /Hr)]]="year",Table1[[#This Row],[Cohort wage (includes BH for hrly staff)]],Table1[[#This Row],[Cohort wage (includes BH for hrly staff)]]+Table1[[#This Row],[Hrly staff AL accrual]]),0)</f>
        <v>0</v>
      </c>
      <c r="L88" s="144" t="e">
        <f>((Table1[[#This Row],[Combined hrs per week]]/Table1[[#This Row],['# FTE staff in role]])*($J$3/7))</f>
        <v>#DIV/0!</v>
      </c>
      <c r="M88" s="145" t="e">
        <f>Table1[[#This Row],[Total Wage]]/Table1[[#This Row],['# FTE staff in role]]</f>
        <v>#DIV/0!</v>
      </c>
      <c r="N88" s="145" t="e">
        <f>IF(ISBLANK(Table1[[#This Row],['# FTE staff in role]]),Table1[[#This Row],[Total Wage]]/(Table1[[#This Row],[Combined hrs per week]]*($J$3/7)),(Table1[[#This Row],[an. Wage Per FTE]]/Table1[[#This Row],[an. hrs per fte]]/24))</f>
        <v>#DIV/0!</v>
      </c>
      <c r="O88" s="327" t="str">
        <f>IF(ISBLANK(Table1[[#This Row],[Role]]),"",Table1[[#This Row],[Role]])</f>
        <v/>
      </c>
      <c r="P88" s="309" t="str">
        <f>IF(ISBLANK(Table1[[#This Row],[Role type]]),"",Table1[[#This Row],[Role type]])</f>
        <v/>
      </c>
      <c r="Q88" s="331" t="str">
        <f>IF(ISBLANK(Table1[[#This Row],[Rate]]),"",Table1[[#This Row],[Rate]])</f>
        <v/>
      </c>
      <c r="R88" s="331" t="str">
        <f>IF(ISBLANK(Table1[[#This Row],[Hrly Staff only Bank Hol hrly rate 1]]),"",Table1[[#This Row],[Hrly Staff only Bank Hol hrly rate 1]])</f>
        <v/>
      </c>
      <c r="S88" s="331">
        <f>IF(ISBLANK(Table1[[#This Row],[Hrly Staff only Bank Hol hrly rate 2]]),0,Table1[[#This Row],[Hrly Staff only Bank Hol hrly rate 2]])</f>
        <v>0</v>
      </c>
      <c r="T88" s="331" t="str">
        <f>IF(ISBLANK(Table1[[#This Row],[Per (Year /Hr)]]),"",Table1[[#This Row],[Per (Year /Hr)]])</f>
        <v/>
      </c>
      <c r="U88" s="455" t="str">
        <f>IF(ISBLANK(Table1[[#This Row],['# FTE staff in role]]),"",Table1[[#This Row],['# FTE staff in role]])</f>
        <v/>
      </c>
      <c r="V88" s="413" t="str">
        <f>IF(ISBLANK(Table1[[#This Row],[Combined hrs per week]]),"",Table1[[#This Row],[Combined hrs per week]])</f>
        <v/>
      </c>
      <c r="W88"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8" s="37" t="str">
        <f>IFERROR(IF(Table14[[#This Row],[Per]]="year","",$X$6*Table14[[#This Row],[Cohort Wage (includes BH for hrly rate staff)]]),"")</f>
        <v/>
      </c>
      <c r="Y88" s="38">
        <f>IFERROR(IF(Table14[[#This Row],[Per]]="year",Table14[[#This Row],[Cohort Wage (includes BH for hrly rate staff)]],Table14[[#This Row],[Cohort Wage (includes BH for hrly rate staff)]]+Table14[[#This Row],[Hrly staff AL accrual]]),0)</f>
        <v>0</v>
      </c>
      <c r="Z88" s="70" t="e">
        <f>((Table14[Revised Combined hrs per week]/Table14[Revised '# Staff in role])*($X$3/7))</f>
        <v>#VALUE!</v>
      </c>
      <c r="AA88" s="70" t="e">
        <f>Table14[[#This Row],[Total Wage]]/Table14[Revised '# Staff in role]</f>
        <v>#VALUE!</v>
      </c>
      <c r="AB88" s="70" t="e">
        <f>(Table14[[#This Row],[an wg per fte]]/Table14[[#This Row],[an hrs per fte]]/24)</f>
        <v>#VALUE!</v>
      </c>
    </row>
    <row r="89" spans="1:28" x14ac:dyDescent="0.35">
      <c r="A89" s="327"/>
      <c r="B89" s="330"/>
      <c r="C89" s="227"/>
      <c r="D89" s="227"/>
      <c r="E89" s="227"/>
      <c r="F89" s="310"/>
      <c r="G89" s="388"/>
      <c r="H89" s="228"/>
      <c r="I89"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89" s="37" t="str">
        <f>IFERROR(IF(Table1[[#This Row],[Per (Year /Hr)]]="year","",$J$6*Table1[[#This Row],[Cohort wage (includes BH for hrly staff)]]),"")</f>
        <v/>
      </c>
      <c r="K89" s="184">
        <f>IFERROR(IF(Table1[[#This Row],[Per (Year /Hr)]]="year",Table1[[#This Row],[Cohort wage (includes BH for hrly staff)]],Table1[[#This Row],[Cohort wage (includes BH for hrly staff)]]+Table1[[#This Row],[Hrly staff AL accrual]]),0)</f>
        <v>0</v>
      </c>
      <c r="L89" s="144" t="e">
        <f>((Table1[[#This Row],[Combined hrs per week]]/Table1[[#This Row],['# FTE staff in role]])*($J$3/7))</f>
        <v>#DIV/0!</v>
      </c>
      <c r="M89" s="145" t="e">
        <f>Table1[[#This Row],[Total Wage]]/Table1[[#This Row],['# FTE staff in role]]</f>
        <v>#DIV/0!</v>
      </c>
      <c r="N89" s="145" t="e">
        <f>IF(ISBLANK(Table1[[#This Row],['# FTE staff in role]]),Table1[[#This Row],[Total Wage]]/(Table1[[#This Row],[Combined hrs per week]]*($J$3/7)),(Table1[[#This Row],[an. Wage Per FTE]]/Table1[[#This Row],[an. hrs per fte]]/24))</f>
        <v>#DIV/0!</v>
      </c>
      <c r="O89" s="327" t="str">
        <f>IF(ISBLANK(Table1[[#This Row],[Role]]),"",Table1[[#This Row],[Role]])</f>
        <v/>
      </c>
      <c r="P89" s="309" t="str">
        <f>IF(ISBLANK(Table1[[#This Row],[Role type]]),"",Table1[[#This Row],[Role type]])</f>
        <v/>
      </c>
      <c r="Q89" s="331" t="str">
        <f>IF(ISBLANK(Table1[[#This Row],[Rate]]),"",Table1[[#This Row],[Rate]])</f>
        <v/>
      </c>
      <c r="R89" s="331" t="str">
        <f>IF(ISBLANK(Table1[[#This Row],[Hrly Staff only Bank Hol hrly rate 1]]),"",Table1[[#This Row],[Hrly Staff only Bank Hol hrly rate 1]])</f>
        <v/>
      </c>
      <c r="S89" s="331">
        <f>IF(ISBLANK(Table1[[#This Row],[Hrly Staff only Bank Hol hrly rate 2]]),0,Table1[[#This Row],[Hrly Staff only Bank Hol hrly rate 2]])</f>
        <v>0</v>
      </c>
      <c r="T89" s="331" t="str">
        <f>IF(ISBLANK(Table1[[#This Row],[Per (Year /Hr)]]),"",Table1[[#This Row],[Per (Year /Hr)]])</f>
        <v/>
      </c>
      <c r="U89" s="455" t="str">
        <f>IF(ISBLANK(Table1[[#This Row],['# FTE staff in role]]),"",Table1[[#This Row],['# FTE staff in role]])</f>
        <v/>
      </c>
      <c r="V89" s="413" t="str">
        <f>IF(ISBLANK(Table1[[#This Row],[Combined hrs per week]]),"",Table1[[#This Row],[Combined hrs per week]])</f>
        <v/>
      </c>
      <c r="W89"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89" s="37" t="str">
        <f>IFERROR(IF(Table14[[#This Row],[Per]]="year","",$X$6*Table14[[#This Row],[Cohort Wage (includes BH for hrly rate staff)]]),"")</f>
        <v/>
      </c>
      <c r="Y89" s="38">
        <f>IFERROR(IF(Table14[[#This Row],[Per]]="year",Table14[[#This Row],[Cohort Wage (includes BH for hrly rate staff)]],Table14[[#This Row],[Cohort Wage (includes BH for hrly rate staff)]]+Table14[[#This Row],[Hrly staff AL accrual]]),0)</f>
        <v>0</v>
      </c>
      <c r="Z89" s="70" t="e">
        <f>((Table14[Revised Combined hrs per week]/Table14[Revised '# Staff in role])*($X$3/7))</f>
        <v>#VALUE!</v>
      </c>
      <c r="AA89" s="70" t="e">
        <f>Table14[[#This Row],[Total Wage]]/Table14[Revised '# Staff in role]</f>
        <v>#VALUE!</v>
      </c>
      <c r="AB89" s="70" t="e">
        <f>(Table14[[#This Row],[an wg per fte]]/Table14[[#This Row],[an hrs per fte]]/24)</f>
        <v>#VALUE!</v>
      </c>
    </row>
    <row r="90" spans="1:28" x14ac:dyDescent="0.35">
      <c r="A90" s="327"/>
      <c r="B90" s="330"/>
      <c r="C90" s="227"/>
      <c r="D90" s="227"/>
      <c r="E90" s="227"/>
      <c r="F90" s="310"/>
      <c r="G90" s="388"/>
      <c r="H90" s="228"/>
      <c r="I90"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90" s="37" t="str">
        <f>IFERROR(IF(Table1[[#This Row],[Per (Year /Hr)]]="year","",$J$6*Table1[[#This Row],[Cohort wage (includes BH for hrly staff)]]),"")</f>
        <v/>
      </c>
      <c r="K90" s="184">
        <f>IFERROR(IF(Table1[[#This Row],[Per (Year /Hr)]]="year",Table1[[#This Row],[Cohort wage (includes BH for hrly staff)]],Table1[[#This Row],[Cohort wage (includes BH for hrly staff)]]+Table1[[#This Row],[Hrly staff AL accrual]]),0)</f>
        <v>0</v>
      </c>
      <c r="L90" s="144" t="e">
        <f>((Table1[[#This Row],[Combined hrs per week]]/Table1[[#This Row],['# FTE staff in role]])*($J$3/7))</f>
        <v>#DIV/0!</v>
      </c>
      <c r="M90" s="145" t="e">
        <f>Table1[[#This Row],[Total Wage]]/Table1[[#This Row],['# FTE staff in role]]</f>
        <v>#DIV/0!</v>
      </c>
      <c r="N90" s="145" t="e">
        <f>IF(ISBLANK(Table1[[#This Row],['# FTE staff in role]]),Table1[[#This Row],[Total Wage]]/(Table1[[#This Row],[Combined hrs per week]]*($J$3/7)),(Table1[[#This Row],[an. Wage Per FTE]]/Table1[[#This Row],[an. hrs per fte]]/24))</f>
        <v>#DIV/0!</v>
      </c>
      <c r="O90" s="327" t="str">
        <f>IF(ISBLANK(Table1[[#This Row],[Role]]),"",Table1[[#This Row],[Role]])</f>
        <v/>
      </c>
      <c r="P90" s="309" t="str">
        <f>IF(ISBLANK(Table1[[#This Row],[Role type]]),"",Table1[[#This Row],[Role type]])</f>
        <v/>
      </c>
      <c r="Q90" s="331" t="str">
        <f>IF(ISBLANK(Table1[[#This Row],[Rate]]),"",Table1[[#This Row],[Rate]])</f>
        <v/>
      </c>
      <c r="R90" s="331" t="str">
        <f>IF(ISBLANK(Table1[[#This Row],[Hrly Staff only Bank Hol hrly rate 1]]),"",Table1[[#This Row],[Hrly Staff only Bank Hol hrly rate 1]])</f>
        <v/>
      </c>
      <c r="S90" s="331">
        <f>IF(ISBLANK(Table1[[#This Row],[Hrly Staff only Bank Hol hrly rate 2]]),0,Table1[[#This Row],[Hrly Staff only Bank Hol hrly rate 2]])</f>
        <v>0</v>
      </c>
      <c r="T90" s="331" t="str">
        <f>IF(ISBLANK(Table1[[#This Row],[Per (Year /Hr)]]),"",Table1[[#This Row],[Per (Year /Hr)]])</f>
        <v/>
      </c>
      <c r="U90" s="455" t="str">
        <f>IF(ISBLANK(Table1[[#This Row],['# FTE staff in role]]),"",Table1[[#This Row],['# FTE staff in role]])</f>
        <v/>
      </c>
      <c r="V90" s="317" t="str">
        <f>IF(ISBLANK(Table1[[#This Row],[Combined hrs per week]]),"",Table1[[#This Row],[Combined hrs per week]])</f>
        <v/>
      </c>
      <c r="W90"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90" s="37" t="str">
        <f>IFERROR(IF(Table14[[#This Row],[Per]]="year","",$X$6*Table14[[#This Row],[Cohort Wage (includes BH for hrly rate staff)]]),"")</f>
        <v/>
      </c>
      <c r="Y90" s="38">
        <f>IFERROR(IF(Table14[[#This Row],[Per]]="year",Table14[[#This Row],[Cohort Wage (includes BH for hrly rate staff)]],Table14[[#This Row],[Cohort Wage (includes BH for hrly rate staff)]]+Table14[[#This Row],[Hrly staff AL accrual]]),0)</f>
        <v>0</v>
      </c>
      <c r="Z90" s="70" t="e">
        <f>((Table14[Revised Combined hrs per week]/Table14[Revised '# Staff in role])*($X$3/7))</f>
        <v>#VALUE!</v>
      </c>
      <c r="AA90" s="70" t="e">
        <f>Table14[[#This Row],[Total Wage]]/Table14[Revised '# Staff in role]</f>
        <v>#VALUE!</v>
      </c>
      <c r="AB90" s="70" t="e">
        <f>(Table14[[#This Row],[an wg per fte]]/Table14[[#This Row],[an hrs per fte]]/24)</f>
        <v>#VALUE!</v>
      </c>
    </row>
    <row r="91" spans="1:28" x14ac:dyDescent="0.35">
      <c r="A91" s="327"/>
      <c r="B91" s="330"/>
      <c r="C91" s="227"/>
      <c r="D91" s="227"/>
      <c r="E91" s="227"/>
      <c r="F91" s="310"/>
      <c r="G91" s="388"/>
      <c r="H91" s="228"/>
      <c r="I91"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91" s="37" t="str">
        <f>IFERROR(IF(Table1[[#This Row],[Per (Year /Hr)]]="year","",$J$6*Table1[[#This Row],[Cohort wage (includes BH for hrly staff)]]),"")</f>
        <v/>
      </c>
      <c r="K91" s="184">
        <f>IFERROR(IF(Table1[[#This Row],[Per (Year /Hr)]]="year",Table1[[#This Row],[Cohort wage (includes BH for hrly staff)]],Table1[[#This Row],[Cohort wage (includes BH for hrly staff)]]+Table1[[#This Row],[Hrly staff AL accrual]]),0)</f>
        <v>0</v>
      </c>
      <c r="L91" s="144" t="e">
        <f>((Table1[[#This Row],[Combined hrs per week]]/Table1[[#This Row],['# FTE staff in role]])*($J$3/7))</f>
        <v>#DIV/0!</v>
      </c>
      <c r="M91" s="145" t="e">
        <f>Table1[[#This Row],[Total Wage]]/Table1[[#This Row],['# FTE staff in role]]</f>
        <v>#DIV/0!</v>
      </c>
      <c r="N91" s="145" t="e">
        <f>IF(ISBLANK(Table1[[#This Row],['# FTE staff in role]]),Table1[[#This Row],[Total Wage]]/(Table1[[#This Row],[Combined hrs per week]]*($J$3/7)),(Table1[[#This Row],[an. Wage Per FTE]]/Table1[[#This Row],[an. hrs per fte]]/24))</f>
        <v>#DIV/0!</v>
      </c>
      <c r="O91" s="327" t="str">
        <f>IF(ISBLANK(Table1[[#This Row],[Role]]),"",Table1[[#This Row],[Role]])</f>
        <v/>
      </c>
      <c r="P91" s="309" t="str">
        <f>IF(ISBLANK(Table1[[#This Row],[Role type]]),"",Table1[[#This Row],[Role type]])</f>
        <v/>
      </c>
      <c r="Q91" s="331" t="str">
        <f>IF(ISBLANK(Table1[[#This Row],[Rate]]),"",Table1[[#This Row],[Rate]])</f>
        <v/>
      </c>
      <c r="R91" s="331" t="str">
        <f>IF(ISBLANK(Table1[[#This Row],[Hrly Staff only Bank Hol hrly rate 1]]),"",Table1[[#This Row],[Hrly Staff only Bank Hol hrly rate 1]])</f>
        <v/>
      </c>
      <c r="S91" s="331">
        <f>IF(ISBLANK(Table1[[#This Row],[Hrly Staff only Bank Hol hrly rate 2]]),0,Table1[[#This Row],[Hrly Staff only Bank Hol hrly rate 2]])</f>
        <v>0</v>
      </c>
      <c r="T91" s="331" t="str">
        <f>IF(ISBLANK(Table1[[#This Row],[Per (Year /Hr)]]),"",Table1[[#This Row],[Per (Year /Hr)]])</f>
        <v/>
      </c>
      <c r="U91" s="455" t="str">
        <f>IF(ISBLANK(Table1[[#This Row],['# FTE staff in role]]),"",Table1[[#This Row],['# FTE staff in role]])</f>
        <v/>
      </c>
      <c r="V91" s="317" t="str">
        <f>IF(ISBLANK(Table1[[#This Row],[Combined hrs per week]]),"",Table1[[#This Row],[Combined hrs per week]])</f>
        <v/>
      </c>
      <c r="W91"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91" s="37" t="str">
        <f>IFERROR(IF(Table14[[#This Row],[Per]]="year","",$X$6*Table14[[#This Row],[Cohort Wage (includes BH for hrly rate staff)]]),"")</f>
        <v/>
      </c>
      <c r="Y91" s="38">
        <f>IFERROR(IF(Table14[[#This Row],[Per]]="year",Table14[[#This Row],[Cohort Wage (includes BH for hrly rate staff)]],Table14[[#This Row],[Cohort Wage (includes BH for hrly rate staff)]]+Table14[[#This Row],[Hrly staff AL accrual]]),0)</f>
        <v>0</v>
      </c>
      <c r="Z91" s="70" t="e">
        <f>((Table14[Revised Combined hrs per week]/Table14[Revised '# Staff in role])*($X$3/7))</f>
        <v>#VALUE!</v>
      </c>
      <c r="AA91" s="70" t="e">
        <f>Table14[[#This Row],[Total Wage]]/Table14[Revised '# Staff in role]</f>
        <v>#VALUE!</v>
      </c>
      <c r="AB91" s="70" t="e">
        <f>(Table14[[#This Row],[an wg per fte]]/Table14[[#This Row],[an hrs per fte]]/24)</f>
        <v>#VALUE!</v>
      </c>
    </row>
    <row r="92" spans="1:28" x14ac:dyDescent="0.35">
      <c r="A92" s="327"/>
      <c r="B92" s="330"/>
      <c r="C92" s="227"/>
      <c r="D92" s="227"/>
      <c r="E92" s="227"/>
      <c r="F92" s="310"/>
      <c r="G92" s="388"/>
      <c r="H92" s="228"/>
      <c r="I92" s="31"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92" s="37" t="str">
        <f>IFERROR(IF(Table1[[#This Row],[Per (Year /Hr)]]="year","",$J$6*Table1[[#This Row],[Cohort wage (includes BH for hrly staff)]]),"")</f>
        <v/>
      </c>
      <c r="K92" s="184">
        <f>IFERROR(IF(Table1[[#This Row],[Per (Year /Hr)]]="year",Table1[[#This Row],[Cohort wage (includes BH for hrly staff)]],Table1[[#This Row],[Cohort wage (includes BH for hrly staff)]]+Table1[[#This Row],[Hrly staff AL accrual]]),0)</f>
        <v>0</v>
      </c>
      <c r="L92" s="144" t="e">
        <f>((Table1[[#This Row],[Combined hrs per week]]/Table1[[#This Row],['# FTE staff in role]])*($J$3/7))</f>
        <v>#DIV/0!</v>
      </c>
      <c r="M92" s="145" t="e">
        <f>Table1[[#This Row],[Total Wage]]/Table1[[#This Row],['# FTE staff in role]]</f>
        <v>#DIV/0!</v>
      </c>
      <c r="N92" s="145" t="e">
        <f>IF(ISBLANK(Table1[[#This Row],['# FTE staff in role]]),Table1[[#This Row],[Total Wage]]/(Table1[[#This Row],[Combined hrs per week]]*($J$3/7)),(Table1[[#This Row],[an. Wage Per FTE]]/Table1[[#This Row],[an. hrs per fte]]/24))</f>
        <v>#DIV/0!</v>
      </c>
      <c r="O92" s="327" t="str">
        <f>IF(ISBLANK(Table1[[#This Row],[Role]]),"",Table1[[#This Row],[Role]])</f>
        <v/>
      </c>
      <c r="P92" s="309" t="str">
        <f>IF(ISBLANK(Table1[[#This Row],[Role type]]),"",Table1[[#This Row],[Role type]])</f>
        <v/>
      </c>
      <c r="Q92" s="331" t="str">
        <f>IF(ISBLANK(Table1[[#This Row],[Rate]]),"",Table1[[#This Row],[Rate]])</f>
        <v/>
      </c>
      <c r="R92" s="331" t="str">
        <f>IF(ISBLANK(Table1[[#This Row],[Hrly Staff only Bank Hol hrly rate 1]]),"",Table1[[#This Row],[Hrly Staff only Bank Hol hrly rate 1]])</f>
        <v/>
      </c>
      <c r="S92" s="331">
        <f>IF(ISBLANK(Table1[[#This Row],[Hrly Staff only Bank Hol hrly rate 2]]),0,Table1[[#This Row],[Hrly Staff only Bank Hol hrly rate 2]])</f>
        <v>0</v>
      </c>
      <c r="T92" s="331" t="str">
        <f>IF(ISBLANK(Table1[[#This Row],[Per (Year /Hr)]]),"",Table1[[#This Row],[Per (Year /Hr)]])</f>
        <v/>
      </c>
      <c r="U92" s="455" t="str">
        <f>IF(ISBLANK(Table1[[#This Row],['# FTE staff in role]]),"",Table1[[#This Row],['# FTE staff in role]])</f>
        <v/>
      </c>
      <c r="V92" s="317" t="str">
        <f>IF(ISBLANK(Table1[[#This Row],[Combined hrs per week]]),"",Table1[[#This Row],[Combined hrs per week]])</f>
        <v/>
      </c>
      <c r="W92"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92" s="37" t="str">
        <f>IFERROR(IF(Table14[[#This Row],[Per]]="year","",$X$6*Table14[[#This Row],[Cohort Wage (includes BH for hrly rate staff)]]),"")</f>
        <v/>
      </c>
      <c r="Y92" s="38">
        <f>IFERROR(IF(Table14[[#This Row],[Per]]="year",Table14[[#This Row],[Cohort Wage (includes BH for hrly rate staff)]],Table14[[#This Row],[Cohort Wage (includes BH for hrly rate staff)]]+Table14[[#This Row],[Hrly staff AL accrual]]),0)</f>
        <v>0</v>
      </c>
      <c r="Z92" s="70" t="e">
        <f>((Table14[Revised Combined hrs per week]/Table14[Revised '# Staff in role])*($X$3/7))</f>
        <v>#VALUE!</v>
      </c>
      <c r="AA92" s="70" t="e">
        <f>Table14[[#This Row],[Total Wage]]/Table14[Revised '# Staff in role]</f>
        <v>#VALUE!</v>
      </c>
      <c r="AB92" s="70" t="e">
        <f>(Table14[[#This Row],[an wg per fte]]/Table14[[#This Row],[an hrs per fte]]/24)</f>
        <v>#VALUE!</v>
      </c>
    </row>
    <row r="93" spans="1:28" ht="13.3" thickBot="1" x14ac:dyDescent="0.4">
      <c r="A93" s="327"/>
      <c r="B93" s="330"/>
      <c r="C93" s="227"/>
      <c r="D93" s="227"/>
      <c r="E93" s="227"/>
      <c r="F93" s="310"/>
      <c r="G93" s="388"/>
      <c r="H93" s="228"/>
      <c r="I93" s="186" t="str">
        <f>IF(ISBLANK(Table1[[#This Row],[Combined hrs per week]]),"",IF(Table1[[#This Row],[Per (Year /Hr)]]="year",Table1[[#This Row],['# FTE staff in role]]*Table1[[#This Row],[Rate]],SUM((K$3*24*(Table1[[#This Row],[Combined hrs per week]]/7))*Table1[[#This Row],[Rate]],(J$4*24*(Table1[[#This Row],[Combined hrs per week]]/7))*Table1[[#This Row],[Hrly Staff only Bank Hol hrly rate 1]],(J$5*24*(Table1[[#This Row],[Combined hrs per week]]/7))*Table1[[#This Row],[Hrly Staff only Bank Hol hrly rate 2]])))</f>
        <v/>
      </c>
      <c r="J93" s="187" t="str">
        <f>IFERROR(IF(Table1[[#This Row],[Per (Year /Hr)]]="year","",$J$6*Table1[[#This Row],[Cohort wage (includes BH for hrly staff)]]),"")</f>
        <v/>
      </c>
      <c r="K93" s="184">
        <f>IFERROR(IF(Table1[[#This Row],[Per (Year /Hr)]]="year",Table1[[#This Row],[Cohort wage (includes BH for hrly staff)]],Table1[[#This Row],[Cohort wage (includes BH for hrly staff)]]+Table1[[#This Row],[Hrly staff AL accrual]]),0)</f>
        <v>0</v>
      </c>
      <c r="L93" s="144" t="e">
        <f>((Table1[[#This Row],[Combined hrs per week]]/Table1[[#This Row],['# FTE staff in role]])*($J$3/7))</f>
        <v>#DIV/0!</v>
      </c>
      <c r="M93" s="145" t="e">
        <f>Table1[[#This Row],[Total Wage]]/Table1[[#This Row],['# FTE staff in role]]</f>
        <v>#DIV/0!</v>
      </c>
      <c r="N93" s="145" t="e">
        <f>IF(ISBLANK(Table1[[#This Row],['# FTE staff in role]]),Table1[[#This Row],[Total Wage]]/(Table1[[#This Row],[Combined hrs per week]]*($J$3/7)),(Table1[[#This Row],[an. Wage Per FTE]]/Table1[[#This Row],[an. hrs per fte]]/24))</f>
        <v>#DIV/0!</v>
      </c>
      <c r="O93" s="327" t="str">
        <f>IF(ISBLANK(Table1[[#This Row],[Role]]),"",Table1[[#This Row],[Role]])</f>
        <v/>
      </c>
      <c r="P93" s="309" t="str">
        <f>IF(ISBLANK(Table1[[#This Row],[Role type]]),"",Table1[[#This Row],[Role type]])</f>
        <v/>
      </c>
      <c r="Q93" s="331" t="str">
        <f>IF(ISBLANK(Table1[[#This Row],[Rate]]),"",Table1[[#This Row],[Rate]])</f>
        <v/>
      </c>
      <c r="R93" s="331" t="str">
        <f>IF(ISBLANK(Table1[[#This Row],[Hrly Staff only Bank Hol hrly rate 1]]),"",Table1[[#This Row],[Hrly Staff only Bank Hol hrly rate 1]])</f>
        <v/>
      </c>
      <c r="S93" s="331">
        <f>IF(ISBLANK(Table1[[#This Row],[Hrly Staff only Bank Hol hrly rate 2]]),0,Table1[[#This Row],[Hrly Staff only Bank Hol hrly rate 2]])</f>
        <v>0</v>
      </c>
      <c r="T93" s="331" t="str">
        <f>IF(ISBLANK(Table1[[#This Row],[Per (Year /Hr)]]),"",Table1[[#This Row],[Per (Year /Hr)]])</f>
        <v/>
      </c>
      <c r="U93" s="455" t="str">
        <f>IF(ISBLANK(Table1[[#This Row],['# FTE staff in role]]),"",Table1[[#This Row],['# FTE staff in role]])</f>
        <v/>
      </c>
      <c r="V93" s="317" t="str">
        <f>IF(ISBLANK(Table1[[#This Row],[Combined hrs per week]]),"",Table1[[#This Row],[Combined hrs per week]])</f>
        <v/>
      </c>
      <c r="W93" s="36" t="str">
        <f>IFERROR(IF(ISBLANK(Table14[[#This Row],[Revised Combined hrs per week]]),"",IF(Table14[[#This Row],[Per]]="year",Table14[[#This Row],[Revised '# Staff in role]]*Table14[[#This Row],[Revised rate]],SUM((Y$3*24*(Table14[[#This Row],[Revised Combined hrs per week]]/7))*Table14[[#This Row],[Revised rate]],(X$4*24*(Table14[[#This Row],[Revised Combined hrs per week]]/7))*Table14[[#This Row],[Hrly Staff only Revised Bank Hol hrly rate 1]],(X$5*24*(Table14[[#This Row],[Revised Combined hrs per week]]/7))*Table14[[#This Row],[Hrly Staff only Revised Bank Hol hrly rate 2]]))),"")</f>
        <v/>
      </c>
      <c r="X93" s="37" t="str">
        <f>IFERROR(IF(Table14[[#This Row],[Per]]="year","",$X$6*Table14[[#This Row],[Cohort Wage (includes BH for hrly rate staff)]]),"")</f>
        <v/>
      </c>
      <c r="Y93" s="38">
        <f>IFERROR(IF(Table14[[#This Row],[Per]]="year",Table14[[#This Row],[Cohort Wage (includes BH for hrly rate staff)]],Table14[[#This Row],[Cohort Wage (includes BH for hrly rate staff)]]+Table14[[#This Row],[Hrly staff AL accrual]]),0)</f>
        <v>0</v>
      </c>
      <c r="Z93" s="70" t="e">
        <f>((Table14[Revised Combined hrs per week]/Table14[Revised '# Staff in role])*($X$3/7))</f>
        <v>#VALUE!</v>
      </c>
      <c r="AA93" s="70" t="e">
        <f>Table14[[#This Row],[Total Wage]]/Table14[Revised '# Staff in role]</f>
        <v>#VALUE!</v>
      </c>
      <c r="AB93" s="70" t="e">
        <f>(Table14[[#This Row],[an wg per fte]]/Table14[[#This Row],[an hrs per fte]]/24)</f>
        <v>#VALUE!</v>
      </c>
    </row>
    <row r="94" spans="1:28" x14ac:dyDescent="0.35">
      <c r="A94" s="25"/>
      <c r="B94" s="7"/>
      <c r="C94" s="26"/>
      <c r="D94" s="26"/>
      <c r="E94" s="26"/>
      <c r="F94" s="27"/>
      <c r="G94" s="21"/>
      <c r="H94" s="21"/>
      <c r="I94" s="21"/>
      <c r="J94" s="21"/>
      <c r="M94" s="127"/>
      <c r="N94" s="127"/>
      <c r="O94" s="25"/>
      <c r="P94" s="26"/>
      <c r="Q94" s="26"/>
      <c r="R94" s="26"/>
      <c r="S94" s="27"/>
      <c r="T94" s="21"/>
      <c r="U94" s="21"/>
      <c r="V94" s="21"/>
      <c r="W94" s="21"/>
    </row>
    <row r="95" spans="1:28" x14ac:dyDescent="0.35">
      <c r="A95" s="25"/>
      <c r="B95" s="7"/>
      <c r="C95" s="26"/>
      <c r="D95" s="26"/>
      <c r="E95" s="26"/>
      <c r="F95" s="27"/>
      <c r="G95" s="21"/>
      <c r="H95" s="21"/>
      <c r="I95" s="21"/>
      <c r="J95" s="21"/>
      <c r="O95" s="25"/>
      <c r="P95" s="26"/>
      <c r="Q95" s="26"/>
      <c r="R95" s="26"/>
      <c r="S95" s="27"/>
      <c r="T95" s="21"/>
      <c r="U95" s="21"/>
      <c r="V95" s="21"/>
      <c r="W95" s="21"/>
    </row>
    <row r="96" spans="1:28" x14ac:dyDescent="0.35">
      <c r="A96" s="25"/>
      <c r="B96" s="7"/>
      <c r="C96" s="26"/>
      <c r="D96" s="26"/>
      <c r="E96" s="26"/>
      <c r="F96" s="27"/>
      <c r="G96" s="21"/>
      <c r="H96" s="21"/>
      <c r="I96" s="21"/>
      <c r="J96" s="21"/>
      <c r="O96" s="25"/>
      <c r="P96" s="26"/>
      <c r="Q96" s="26"/>
      <c r="R96" s="26"/>
      <c r="S96" s="27"/>
      <c r="T96" s="21"/>
      <c r="U96" s="21"/>
      <c r="V96" s="21"/>
      <c r="W96" s="21"/>
    </row>
    <row r="97" spans="1:23" x14ac:dyDescent="0.35">
      <c r="A97" s="25"/>
      <c r="B97" s="7"/>
      <c r="C97" s="26"/>
      <c r="D97" s="26"/>
      <c r="E97" s="26"/>
      <c r="F97" s="27"/>
      <c r="G97" s="21"/>
      <c r="H97" s="21"/>
      <c r="I97" s="21"/>
      <c r="J97" s="21"/>
      <c r="O97" s="25"/>
      <c r="P97" s="26"/>
      <c r="Q97" s="26"/>
      <c r="R97" s="26"/>
      <c r="S97" s="27"/>
      <c r="T97" s="21"/>
      <c r="U97" s="21"/>
      <c r="V97" s="21"/>
      <c r="W97" s="21"/>
    </row>
    <row r="98" spans="1:23" x14ac:dyDescent="0.35">
      <c r="A98" s="25"/>
      <c r="B98" s="7"/>
      <c r="C98" s="26"/>
      <c r="D98" s="26"/>
      <c r="E98" s="26"/>
      <c r="F98" s="27"/>
      <c r="G98" s="21"/>
      <c r="H98" s="21"/>
      <c r="I98" s="21"/>
      <c r="J98" s="21"/>
      <c r="O98" s="25"/>
      <c r="P98" s="26"/>
      <c r="Q98" s="26"/>
      <c r="R98" s="26"/>
      <c r="S98" s="27"/>
      <c r="T98" s="21"/>
      <c r="U98" s="21"/>
      <c r="V98" s="21"/>
      <c r="W98" s="21"/>
    </row>
    <row r="99" spans="1:23" x14ac:dyDescent="0.35">
      <c r="A99" s="25"/>
      <c r="B99" s="7"/>
      <c r="C99" s="26"/>
      <c r="D99" s="26"/>
      <c r="E99" s="26"/>
      <c r="F99" s="27"/>
      <c r="G99" s="21"/>
      <c r="H99" s="21"/>
      <c r="I99" s="21"/>
      <c r="J99" s="21"/>
      <c r="O99" s="25"/>
      <c r="P99" s="26"/>
      <c r="Q99" s="26"/>
      <c r="R99" s="26"/>
      <c r="S99" s="27"/>
      <c r="T99" s="21"/>
      <c r="U99" s="21"/>
      <c r="V99" s="21"/>
      <c r="W99" s="21"/>
    </row>
    <row r="100" spans="1:23" x14ac:dyDescent="0.35">
      <c r="A100" s="25"/>
      <c r="B100" s="7"/>
      <c r="C100" s="26"/>
      <c r="D100" s="26"/>
      <c r="E100" s="26"/>
      <c r="F100" s="27"/>
      <c r="G100" s="21"/>
      <c r="H100" s="21"/>
      <c r="I100" s="21"/>
      <c r="J100" s="21"/>
      <c r="O100" s="25"/>
      <c r="P100" s="26"/>
      <c r="Q100" s="26"/>
      <c r="R100" s="26"/>
      <c r="S100" s="27"/>
      <c r="T100" s="21"/>
      <c r="U100" s="21"/>
      <c r="V100" s="21"/>
      <c r="W100" s="21"/>
    </row>
    <row r="101" spans="1:23" x14ac:dyDescent="0.35">
      <c r="A101" s="25"/>
      <c r="B101" s="7"/>
      <c r="C101" s="26"/>
      <c r="D101" s="26"/>
      <c r="E101" s="26"/>
      <c r="F101" s="27"/>
      <c r="G101" s="21"/>
      <c r="H101" s="21"/>
      <c r="I101" s="21"/>
      <c r="J101" s="21"/>
      <c r="O101" s="25"/>
      <c r="P101" s="26"/>
      <c r="Q101" s="26"/>
      <c r="R101" s="26"/>
      <c r="S101" s="27"/>
      <c r="T101" s="21"/>
      <c r="U101" s="21"/>
      <c r="V101" s="21"/>
      <c r="W101" s="21"/>
    </row>
    <row r="102" spans="1:23" x14ac:dyDescent="0.35">
      <c r="A102" s="25"/>
      <c r="B102" s="7"/>
      <c r="C102" s="26"/>
      <c r="D102" s="26"/>
      <c r="E102" s="26"/>
      <c r="F102" s="27"/>
      <c r="G102" s="21"/>
      <c r="H102" s="21"/>
      <c r="I102" s="21"/>
      <c r="J102" s="21"/>
      <c r="O102" s="25"/>
      <c r="P102" s="26"/>
      <c r="Q102" s="26"/>
      <c r="R102" s="26"/>
      <c r="S102" s="27"/>
      <c r="T102" s="21"/>
      <c r="U102" s="21"/>
      <c r="V102" s="21"/>
      <c r="W102" s="21"/>
    </row>
    <row r="103" spans="1:23" x14ac:dyDescent="0.35">
      <c r="A103" s="25"/>
      <c r="B103" s="7"/>
      <c r="C103" s="26"/>
      <c r="D103" s="26"/>
      <c r="E103" s="26"/>
      <c r="F103" s="27"/>
      <c r="G103" s="21"/>
      <c r="H103" s="21"/>
      <c r="I103" s="21"/>
      <c r="J103" s="21"/>
      <c r="O103" s="25"/>
      <c r="P103" s="26"/>
      <c r="Q103" s="26"/>
      <c r="R103" s="26"/>
      <c r="S103" s="27"/>
      <c r="T103" s="21"/>
      <c r="U103" s="21"/>
      <c r="V103" s="21"/>
      <c r="W103" s="21"/>
    </row>
    <row r="104" spans="1:23" x14ac:dyDescent="0.35">
      <c r="A104" s="25"/>
      <c r="B104" s="7"/>
      <c r="C104" s="26"/>
      <c r="D104" s="26"/>
      <c r="E104" s="26"/>
      <c r="F104" s="27"/>
      <c r="G104" s="21"/>
      <c r="H104" s="21"/>
      <c r="I104" s="21"/>
      <c r="J104" s="21"/>
      <c r="O104" s="25"/>
      <c r="P104" s="26"/>
      <c r="Q104" s="26"/>
      <c r="R104" s="26"/>
      <c r="S104" s="27"/>
      <c r="T104" s="21"/>
      <c r="U104" s="21"/>
      <c r="V104" s="21"/>
      <c r="W104" s="21"/>
    </row>
    <row r="105" spans="1:23" x14ac:dyDescent="0.35">
      <c r="A105" s="25"/>
      <c r="B105" s="7"/>
      <c r="C105" s="26"/>
      <c r="D105" s="26"/>
      <c r="E105" s="26"/>
      <c r="F105" s="27"/>
      <c r="G105" s="21"/>
      <c r="H105" s="21"/>
      <c r="I105" s="21"/>
      <c r="J105" s="21"/>
      <c r="O105" s="25"/>
      <c r="P105" s="26"/>
      <c r="Q105" s="26"/>
      <c r="R105" s="26"/>
      <c r="S105" s="27"/>
      <c r="T105" s="21"/>
      <c r="U105" s="21"/>
      <c r="V105" s="21"/>
      <c r="W105" s="21"/>
    </row>
    <row r="106" spans="1:23" x14ac:dyDescent="0.35">
      <c r="A106" s="25"/>
      <c r="B106" s="7"/>
      <c r="C106" s="26"/>
      <c r="D106" s="26"/>
      <c r="E106" s="26"/>
      <c r="F106" s="27"/>
      <c r="G106" s="21"/>
      <c r="H106" s="21"/>
      <c r="I106" s="21"/>
      <c r="J106" s="21"/>
      <c r="O106" s="25"/>
      <c r="P106" s="26"/>
      <c r="Q106" s="26"/>
      <c r="R106" s="26"/>
      <c r="S106" s="27"/>
      <c r="T106" s="21"/>
      <c r="U106" s="21"/>
      <c r="V106" s="21"/>
      <c r="W106" s="21"/>
    </row>
    <row r="107" spans="1:23" x14ac:dyDescent="0.35">
      <c r="A107" s="25"/>
      <c r="B107" s="7"/>
      <c r="C107" s="26"/>
      <c r="D107" s="26"/>
      <c r="E107" s="26"/>
      <c r="F107" s="27"/>
      <c r="G107" s="21"/>
      <c r="H107" s="21"/>
      <c r="I107" s="21"/>
      <c r="J107" s="21"/>
      <c r="O107" s="25"/>
      <c r="P107" s="26"/>
      <c r="Q107" s="26"/>
      <c r="R107" s="26"/>
      <c r="S107" s="27"/>
      <c r="T107" s="21"/>
      <c r="U107" s="21"/>
      <c r="V107" s="21"/>
      <c r="W107" s="21"/>
    </row>
    <row r="108" spans="1:23" x14ac:dyDescent="0.35">
      <c r="A108" s="25"/>
      <c r="B108" s="7"/>
      <c r="C108" s="26"/>
      <c r="D108" s="26"/>
      <c r="E108" s="26"/>
      <c r="F108" s="27"/>
      <c r="G108" s="21"/>
      <c r="H108" s="21"/>
      <c r="I108" s="21"/>
      <c r="J108" s="21"/>
      <c r="O108" s="25"/>
      <c r="P108" s="26"/>
      <c r="Q108" s="26"/>
      <c r="R108" s="26"/>
      <c r="S108" s="27"/>
      <c r="T108" s="21"/>
      <c r="U108" s="21"/>
      <c r="V108" s="21"/>
      <c r="W108" s="21"/>
    </row>
    <row r="109" spans="1:23" x14ac:dyDescent="0.35">
      <c r="A109" s="25"/>
      <c r="B109" s="7"/>
      <c r="C109" s="26"/>
      <c r="D109" s="26"/>
      <c r="E109" s="26"/>
      <c r="F109" s="27"/>
      <c r="G109" s="21"/>
      <c r="H109" s="21"/>
      <c r="I109" s="21"/>
      <c r="J109" s="21"/>
      <c r="O109" s="25"/>
      <c r="P109" s="26"/>
      <c r="Q109" s="26"/>
      <c r="R109" s="26"/>
      <c r="S109" s="27"/>
      <c r="T109" s="21"/>
      <c r="U109" s="21"/>
      <c r="V109" s="21"/>
      <c r="W109" s="21"/>
    </row>
    <row r="110" spans="1:23" x14ac:dyDescent="0.35">
      <c r="A110" s="25"/>
      <c r="B110" s="7"/>
      <c r="C110" s="26"/>
      <c r="D110" s="26"/>
      <c r="E110" s="26"/>
      <c r="F110" s="27"/>
      <c r="G110" s="21"/>
      <c r="H110" s="21"/>
      <c r="I110" s="21"/>
      <c r="J110" s="21"/>
      <c r="O110" s="25"/>
      <c r="P110" s="26"/>
      <c r="Q110" s="26"/>
      <c r="R110" s="26"/>
      <c r="S110" s="27"/>
      <c r="T110" s="21"/>
      <c r="U110" s="21"/>
      <c r="V110" s="21"/>
      <c r="W110" s="21"/>
    </row>
    <row r="111" spans="1:23" x14ac:dyDescent="0.35">
      <c r="A111" s="25"/>
      <c r="B111" s="7"/>
      <c r="C111" s="26"/>
      <c r="D111" s="26"/>
      <c r="E111" s="26"/>
      <c r="F111" s="27"/>
      <c r="G111" s="21"/>
      <c r="H111" s="21"/>
      <c r="I111" s="21"/>
      <c r="J111" s="21"/>
      <c r="O111" s="25"/>
      <c r="P111" s="26"/>
      <c r="Q111" s="26"/>
      <c r="R111" s="26"/>
      <c r="S111" s="27"/>
      <c r="T111" s="21"/>
      <c r="U111" s="21"/>
      <c r="V111" s="21"/>
      <c r="W111" s="21"/>
    </row>
    <row r="112" spans="1:23" x14ac:dyDescent="0.35">
      <c r="A112" s="25"/>
      <c r="B112" s="7"/>
      <c r="C112" s="26"/>
      <c r="D112" s="26"/>
      <c r="E112" s="26"/>
      <c r="F112" s="27"/>
      <c r="G112" s="21"/>
      <c r="H112" s="21"/>
      <c r="I112" s="21"/>
      <c r="J112" s="21"/>
      <c r="O112" s="25"/>
      <c r="P112" s="26"/>
      <c r="Q112" s="26"/>
      <c r="R112" s="26"/>
      <c r="S112" s="27"/>
      <c r="T112" s="21"/>
      <c r="U112" s="21"/>
      <c r="V112" s="21"/>
      <c r="W112" s="21"/>
    </row>
    <row r="113" spans="1:23" x14ac:dyDescent="0.35">
      <c r="A113" s="25"/>
      <c r="B113" s="7"/>
      <c r="C113" s="26"/>
      <c r="D113" s="26"/>
      <c r="E113" s="26"/>
      <c r="F113" s="27"/>
      <c r="G113" s="21"/>
      <c r="H113" s="21"/>
      <c r="I113" s="21"/>
      <c r="J113" s="21"/>
      <c r="O113" s="25"/>
      <c r="P113" s="26"/>
      <c r="Q113" s="26"/>
      <c r="R113" s="26"/>
      <c r="S113" s="27"/>
      <c r="T113" s="21"/>
      <c r="U113" s="21"/>
      <c r="V113" s="21"/>
      <c r="W113" s="21"/>
    </row>
    <row r="114" spans="1:23" x14ac:dyDescent="0.35">
      <c r="A114" s="25"/>
      <c r="B114" s="7"/>
      <c r="C114" s="26"/>
      <c r="D114" s="26"/>
      <c r="E114" s="26"/>
      <c r="F114" s="27"/>
      <c r="G114" s="21"/>
      <c r="H114" s="21"/>
      <c r="I114" s="21"/>
      <c r="J114" s="21"/>
      <c r="O114" s="25"/>
      <c r="P114" s="26"/>
      <c r="Q114" s="26"/>
      <c r="R114" s="26"/>
      <c r="S114" s="27"/>
      <c r="T114" s="21"/>
      <c r="U114" s="21"/>
      <c r="V114" s="21"/>
      <c r="W114" s="21"/>
    </row>
    <row r="115" spans="1:23" x14ac:dyDescent="0.35">
      <c r="A115" s="25"/>
      <c r="B115" s="7"/>
      <c r="C115" s="26"/>
      <c r="D115" s="26"/>
      <c r="E115" s="26"/>
      <c r="F115" s="27"/>
      <c r="G115" s="21"/>
      <c r="H115" s="21"/>
      <c r="I115" s="21"/>
      <c r="J115" s="21"/>
      <c r="O115" s="25"/>
      <c r="P115" s="26"/>
      <c r="Q115" s="26"/>
      <c r="R115" s="26"/>
      <c r="S115" s="27"/>
      <c r="T115" s="21"/>
      <c r="U115" s="21"/>
      <c r="V115" s="21"/>
      <c r="W115" s="21"/>
    </row>
    <row r="116" spans="1:23" x14ac:dyDescent="0.35">
      <c r="A116" s="25"/>
      <c r="B116" s="7"/>
      <c r="C116" s="26"/>
      <c r="D116" s="26"/>
      <c r="E116" s="26"/>
      <c r="F116" s="27"/>
      <c r="G116" s="21"/>
      <c r="H116" s="21"/>
      <c r="I116" s="21"/>
      <c r="J116" s="21"/>
      <c r="O116" s="25"/>
      <c r="P116" s="26"/>
      <c r="Q116" s="26"/>
      <c r="R116" s="26"/>
      <c r="S116" s="27"/>
      <c r="T116" s="21"/>
      <c r="U116" s="21"/>
      <c r="V116" s="21"/>
      <c r="W116" s="21"/>
    </row>
    <row r="117" spans="1:23" x14ac:dyDescent="0.35">
      <c r="A117" s="25"/>
      <c r="B117" s="7"/>
      <c r="C117" s="26"/>
      <c r="D117" s="26"/>
      <c r="E117" s="26"/>
      <c r="F117" s="27"/>
      <c r="G117" s="21"/>
      <c r="H117" s="21"/>
      <c r="I117" s="21"/>
      <c r="J117" s="21"/>
      <c r="O117" s="25"/>
      <c r="P117" s="26"/>
      <c r="Q117" s="26"/>
      <c r="R117" s="26"/>
      <c r="S117" s="27"/>
      <c r="T117" s="21"/>
      <c r="U117" s="21"/>
      <c r="V117" s="21"/>
      <c r="W117" s="21"/>
    </row>
    <row r="118" spans="1:23" x14ac:dyDescent="0.35">
      <c r="A118" s="25"/>
      <c r="B118" s="7"/>
      <c r="C118" s="26"/>
      <c r="D118" s="26"/>
      <c r="E118" s="26"/>
      <c r="F118" s="27"/>
      <c r="G118" s="21"/>
      <c r="H118" s="21"/>
      <c r="I118" s="21"/>
      <c r="J118" s="21"/>
      <c r="O118" s="25"/>
      <c r="P118" s="26"/>
      <c r="Q118" s="26"/>
      <c r="R118" s="26"/>
      <c r="S118" s="27"/>
      <c r="T118" s="21"/>
      <c r="U118" s="21"/>
      <c r="V118" s="21"/>
      <c r="W118" s="21"/>
    </row>
    <row r="119" spans="1:23" x14ac:dyDescent="0.35">
      <c r="A119" s="25"/>
      <c r="B119" s="7"/>
      <c r="C119" s="26"/>
      <c r="D119" s="26"/>
      <c r="E119" s="26"/>
      <c r="F119" s="27"/>
      <c r="G119" s="21"/>
      <c r="H119" s="21"/>
      <c r="I119" s="21"/>
      <c r="J119" s="21"/>
      <c r="O119" s="25"/>
      <c r="P119" s="26"/>
      <c r="Q119" s="26"/>
      <c r="R119" s="26"/>
      <c r="S119" s="27"/>
      <c r="T119" s="21"/>
      <c r="U119" s="21"/>
      <c r="V119" s="21"/>
      <c r="W119" s="21"/>
    </row>
    <row r="120" spans="1:23" x14ac:dyDescent="0.35">
      <c r="A120" s="25"/>
      <c r="B120" s="7"/>
      <c r="C120" s="26"/>
      <c r="D120" s="26"/>
      <c r="E120" s="26"/>
      <c r="F120" s="27"/>
      <c r="G120" s="21"/>
      <c r="H120" s="21"/>
      <c r="I120" s="21"/>
      <c r="J120" s="21"/>
      <c r="O120" s="25"/>
      <c r="P120" s="26"/>
      <c r="Q120" s="26"/>
      <c r="R120" s="26"/>
      <c r="S120" s="27"/>
      <c r="T120" s="21"/>
      <c r="U120" s="21"/>
      <c r="V120" s="21"/>
      <c r="W120" s="21"/>
    </row>
    <row r="121" spans="1:23" x14ac:dyDescent="0.35">
      <c r="A121" s="25"/>
      <c r="B121" s="7"/>
      <c r="C121" s="26"/>
      <c r="D121" s="26"/>
      <c r="E121" s="26"/>
      <c r="F121" s="27"/>
      <c r="G121" s="21"/>
      <c r="H121" s="21"/>
      <c r="I121" s="21"/>
      <c r="J121" s="21"/>
      <c r="O121" s="25"/>
      <c r="P121" s="26"/>
      <c r="Q121" s="26"/>
      <c r="R121" s="26"/>
      <c r="S121" s="27"/>
      <c r="T121" s="21"/>
      <c r="U121" s="21"/>
      <c r="V121" s="21"/>
      <c r="W121" s="21"/>
    </row>
    <row r="122" spans="1:23" x14ac:dyDescent="0.35">
      <c r="A122" s="25"/>
      <c r="B122" s="7"/>
      <c r="C122" s="26"/>
      <c r="D122" s="26"/>
      <c r="E122" s="26"/>
      <c r="F122" s="27"/>
      <c r="G122" s="21"/>
      <c r="H122" s="21"/>
      <c r="I122" s="21"/>
      <c r="J122" s="21"/>
      <c r="O122" s="25"/>
      <c r="P122" s="26"/>
      <c r="Q122" s="26"/>
      <c r="R122" s="26"/>
      <c r="S122" s="27"/>
      <c r="T122" s="21"/>
      <c r="U122" s="21"/>
      <c r="V122" s="21"/>
      <c r="W122" s="21"/>
    </row>
    <row r="123" spans="1:23" x14ac:dyDescent="0.35">
      <c r="A123" s="25"/>
      <c r="B123" s="7"/>
      <c r="C123" s="26"/>
      <c r="D123" s="26"/>
      <c r="E123" s="26"/>
      <c r="F123" s="27"/>
      <c r="G123" s="21"/>
      <c r="H123" s="21"/>
      <c r="I123" s="21"/>
      <c r="J123" s="21"/>
      <c r="O123" s="25"/>
      <c r="P123" s="26"/>
      <c r="Q123" s="26"/>
      <c r="R123" s="26"/>
      <c r="S123" s="27"/>
      <c r="T123" s="21"/>
      <c r="U123" s="21"/>
      <c r="V123" s="21"/>
      <c r="W123" s="21"/>
    </row>
    <row r="124" spans="1:23" x14ac:dyDescent="0.35">
      <c r="A124" s="25"/>
      <c r="B124" s="7"/>
      <c r="C124" s="26"/>
      <c r="D124" s="26"/>
      <c r="E124" s="26"/>
      <c r="F124" s="27"/>
      <c r="G124" s="21"/>
      <c r="H124" s="21"/>
      <c r="I124" s="21"/>
      <c r="J124" s="21"/>
      <c r="O124" s="25"/>
      <c r="P124" s="26"/>
      <c r="Q124" s="26"/>
      <c r="R124" s="26"/>
      <c r="S124" s="27"/>
      <c r="T124" s="21"/>
      <c r="U124" s="21"/>
      <c r="V124" s="21"/>
      <c r="W124" s="21"/>
    </row>
    <row r="125" spans="1:23" x14ac:dyDescent="0.35">
      <c r="A125" s="25"/>
      <c r="B125" s="7"/>
      <c r="C125" s="26"/>
      <c r="D125" s="26"/>
      <c r="E125" s="26"/>
      <c r="F125" s="27"/>
      <c r="G125" s="21"/>
      <c r="H125" s="21"/>
      <c r="I125" s="21"/>
      <c r="J125" s="21"/>
      <c r="O125" s="25"/>
      <c r="P125" s="26"/>
      <c r="Q125" s="26"/>
      <c r="R125" s="26"/>
      <c r="S125" s="27"/>
      <c r="T125" s="21"/>
      <c r="U125" s="21"/>
      <c r="V125" s="21"/>
      <c r="W125" s="21"/>
    </row>
    <row r="126" spans="1:23" x14ac:dyDescent="0.35">
      <c r="A126" s="25"/>
      <c r="B126" s="7"/>
      <c r="C126" s="26"/>
      <c r="D126" s="26"/>
      <c r="E126" s="26"/>
      <c r="F126" s="27"/>
      <c r="G126" s="21"/>
      <c r="H126" s="21"/>
      <c r="I126" s="21"/>
      <c r="J126" s="21"/>
      <c r="O126" s="25"/>
      <c r="P126" s="26"/>
      <c r="Q126" s="26"/>
      <c r="R126" s="26"/>
      <c r="S126" s="27"/>
      <c r="T126" s="21"/>
      <c r="U126" s="21"/>
      <c r="V126" s="21"/>
      <c r="W126" s="21"/>
    </row>
    <row r="127" spans="1:23" x14ac:dyDescent="0.35">
      <c r="A127" s="25"/>
      <c r="B127" s="7"/>
      <c r="C127" s="26"/>
      <c r="D127" s="26"/>
      <c r="E127" s="26"/>
      <c r="F127" s="27"/>
      <c r="G127" s="21"/>
      <c r="H127" s="21"/>
      <c r="I127" s="21"/>
      <c r="J127" s="21"/>
      <c r="O127" s="25"/>
      <c r="P127" s="26"/>
      <c r="Q127" s="26"/>
      <c r="R127" s="26"/>
      <c r="S127" s="27"/>
      <c r="T127" s="21"/>
      <c r="U127" s="21"/>
      <c r="V127" s="21"/>
      <c r="W127" s="21"/>
    </row>
    <row r="128" spans="1:23" x14ac:dyDescent="0.35">
      <c r="A128" s="25"/>
      <c r="B128" s="7"/>
      <c r="C128" s="26"/>
      <c r="D128" s="26"/>
      <c r="E128" s="26"/>
      <c r="F128" s="27"/>
      <c r="G128" s="21"/>
      <c r="H128" s="21"/>
      <c r="I128" s="21"/>
      <c r="J128" s="21"/>
      <c r="O128" s="25"/>
      <c r="P128" s="26"/>
      <c r="Q128" s="26"/>
      <c r="R128" s="26"/>
      <c r="S128" s="27"/>
      <c r="T128" s="21"/>
      <c r="U128" s="21"/>
      <c r="V128" s="21"/>
      <c r="W128" s="21"/>
    </row>
    <row r="129" spans="1:23" x14ac:dyDescent="0.35">
      <c r="A129" s="25"/>
      <c r="B129" s="7"/>
      <c r="C129" s="26"/>
      <c r="D129" s="26"/>
      <c r="E129" s="26"/>
      <c r="F129" s="27"/>
      <c r="G129" s="21"/>
      <c r="H129" s="21"/>
      <c r="I129" s="21"/>
      <c r="J129" s="21"/>
      <c r="O129" s="25"/>
      <c r="P129" s="26"/>
      <c r="Q129" s="26"/>
      <c r="R129" s="26"/>
      <c r="S129" s="27"/>
      <c r="T129" s="21"/>
      <c r="U129" s="21"/>
      <c r="V129" s="21"/>
      <c r="W129" s="21"/>
    </row>
    <row r="130" spans="1:23" x14ac:dyDescent="0.35">
      <c r="A130" s="25"/>
      <c r="B130" s="7"/>
      <c r="C130" s="26"/>
      <c r="D130" s="26"/>
      <c r="E130" s="26"/>
      <c r="F130" s="27"/>
      <c r="G130" s="21"/>
      <c r="H130" s="21"/>
      <c r="I130" s="21"/>
      <c r="J130" s="21"/>
      <c r="O130" s="25"/>
      <c r="P130" s="26"/>
      <c r="Q130" s="26"/>
      <c r="R130" s="26"/>
      <c r="S130" s="27"/>
      <c r="T130" s="21"/>
      <c r="U130" s="21"/>
      <c r="V130" s="21"/>
      <c r="W130" s="21"/>
    </row>
    <row r="131" spans="1:23" x14ac:dyDescent="0.35">
      <c r="A131" s="25"/>
      <c r="B131" s="7"/>
      <c r="C131" s="26"/>
      <c r="D131" s="26"/>
      <c r="E131" s="26"/>
      <c r="F131" s="27"/>
      <c r="G131" s="21"/>
      <c r="H131" s="21"/>
      <c r="I131" s="21"/>
      <c r="J131" s="21"/>
      <c r="O131" s="25"/>
      <c r="P131" s="26"/>
      <c r="Q131" s="26"/>
      <c r="R131" s="26"/>
      <c r="S131" s="27"/>
      <c r="T131" s="21"/>
      <c r="U131" s="21"/>
      <c r="V131" s="21"/>
      <c r="W131" s="21"/>
    </row>
    <row r="132" spans="1:23" x14ac:dyDescent="0.35">
      <c r="A132" s="25"/>
      <c r="B132" s="7"/>
      <c r="C132" s="26"/>
      <c r="D132" s="26"/>
      <c r="E132" s="26"/>
      <c r="F132" s="27"/>
      <c r="G132" s="21"/>
      <c r="H132" s="21"/>
      <c r="I132" s="21"/>
      <c r="J132" s="21"/>
      <c r="O132" s="25"/>
      <c r="P132" s="26"/>
      <c r="Q132" s="26"/>
      <c r="R132" s="26"/>
      <c r="S132" s="27"/>
      <c r="T132" s="21"/>
      <c r="U132" s="21"/>
      <c r="V132" s="21"/>
      <c r="W132" s="21"/>
    </row>
    <row r="133" spans="1:23" x14ac:dyDescent="0.35">
      <c r="A133" s="25"/>
      <c r="B133" s="7"/>
      <c r="C133" s="26"/>
      <c r="D133" s="26"/>
      <c r="E133" s="26"/>
      <c r="F133" s="27"/>
      <c r="G133" s="21"/>
      <c r="H133" s="21"/>
      <c r="I133" s="21"/>
      <c r="J133" s="21"/>
      <c r="O133" s="25"/>
      <c r="P133" s="26"/>
      <c r="Q133" s="26"/>
      <c r="R133" s="26"/>
      <c r="S133" s="27"/>
      <c r="T133" s="21"/>
      <c r="U133" s="21"/>
      <c r="V133" s="21"/>
      <c r="W133" s="21"/>
    </row>
    <row r="134" spans="1:23" x14ac:dyDescent="0.35">
      <c r="A134" s="25"/>
      <c r="B134" s="7"/>
      <c r="C134" s="26"/>
      <c r="D134" s="26"/>
      <c r="E134" s="26"/>
      <c r="F134" s="27"/>
      <c r="G134" s="21"/>
      <c r="H134" s="21"/>
      <c r="I134" s="21"/>
      <c r="J134" s="21"/>
      <c r="O134" s="25"/>
      <c r="P134" s="26"/>
      <c r="Q134" s="26"/>
      <c r="R134" s="26"/>
      <c r="S134" s="27"/>
      <c r="T134" s="21"/>
      <c r="U134" s="21"/>
      <c r="V134" s="21"/>
      <c r="W134" s="21"/>
    </row>
    <row r="135" spans="1:23" x14ac:dyDescent="0.35">
      <c r="A135" s="25"/>
      <c r="B135" s="7"/>
      <c r="C135" s="26"/>
      <c r="D135" s="26"/>
      <c r="E135" s="26"/>
      <c r="F135" s="27"/>
      <c r="G135" s="21"/>
      <c r="H135" s="21"/>
      <c r="I135" s="21"/>
      <c r="J135" s="21"/>
      <c r="O135" s="25"/>
      <c r="P135" s="26"/>
      <c r="Q135" s="26"/>
      <c r="R135" s="26"/>
      <c r="S135" s="27"/>
      <c r="T135" s="21"/>
      <c r="U135" s="21"/>
      <c r="V135" s="21"/>
      <c r="W135" s="21"/>
    </row>
    <row r="136" spans="1:23" x14ac:dyDescent="0.35">
      <c r="A136" s="25"/>
      <c r="B136" s="7"/>
      <c r="C136" s="26"/>
      <c r="D136" s="26"/>
      <c r="E136" s="26"/>
      <c r="F136" s="27"/>
      <c r="G136" s="21"/>
      <c r="H136" s="21"/>
      <c r="I136" s="21"/>
      <c r="J136" s="21"/>
      <c r="O136" s="25"/>
      <c r="P136" s="26"/>
      <c r="Q136" s="26"/>
      <c r="R136" s="26"/>
      <c r="S136" s="27"/>
      <c r="T136" s="21"/>
      <c r="U136" s="21"/>
      <c r="V136" s="21"/>
      <c r="W136" s="21"/>
    </row>
    <row r="137" spans="1:23" x14ac:dyDescent="0.35">
      <c r="A137" s="25"/>
      <c r="B137" s="7"/>
      <c r="C137" s="26"/>
      <c r="D137" s="26"/>
      <c r="E137" s="26"/>
      <c r="F137" s="27"/>
      <c r="G137" s="21"/>
      <c r="H137" s="21"/>
      <c r="I137" s="21"/>
      <c r="J137" s="21"/>
      <c r="O137" s="25"/>
      <c r="P137" s="26"/>
      <c r="Q137" s="26"/>
      <c r="R137" s="26"/>
      <c r="S137" s="27"/>
      <c r="T137" s="21"/>
      <c r="U137" s="21"/>
      <c r="V137" s="21"/>
      <c r="W137" s="21"/>
    </row>
    <row r="138" spans="1:23" x14ac:dyDescent="0.35">
      <c r="A138" s="25"/>
      <c r="B138" s="7"/>
      <c r="C138" s="26"/>
      <c r="D138" s="26"/>
      <c r="E138" s="26"/>
      <c r="F138" s="27"/>
      <c r="G138" s="21"/>
      <c r="H138" s="21"/>
      <c r="I138" s="21"/>
      <c r="J138" s="21"/>
      <c r="O138" s="25"/>
      <c r="P138" s="26"/>
      <c r="Q138" s="26"/>
      <c r="R138" s="26"/>
      <c r="S138" s="27"/>
      <c r="T138" s="21"/>
      <c r="U138" s="21"/>
      <c r="V138" s="21"/>
      <c r="W138" s="21"/>
    </row>
  </sheetData>
  <mergeCells count="18">
    <mergeCell ref="A1:K1"/>
    <mergeCell ref="G9:K10"/>
    <mergeCell ref="H2:J2"/>
    <mergeCell ref="H3:I3"/>
    <mergeCell ref="A13:J13"/>
    <mergeCell ref="A9:E12"/>
    <mergeCell ref="F9:F12"/>
    <mergeCell ref="H6:I6"/>
    <mergeCell ref="G12:K12"/>
    <mergeCell ref="O13:Y13"/>
    <mergeCell ref="U2:X2"/>
    <mergeCell ref="U3:W3"/>
    <mergeCell ref="U4:W4"/>
    <mergeCell ref="U5:W5"/>
    <mergeCell ref="U6:W6"/>
    <mergeCell ref="O9:Y12"/>
    <mergeCell ref="U8:V8"/>
    <mergeCell ref="W8:X8"/>
  </mergeCells>
  <conditionalFormatting sqref="Q94:R133">
    <cfRule type="expression" dxfId="29" priority="120">
      <formula>$F94="hour"</formula>
    </cfRule>
  </conditionalFormatting>
  <conditionalFormatting sqref="Q94:Q133">
    <cfRule type="expression" dxfId="28" priority="123">
      <formula>AND($D94&gt;0,$F94="year")</formula>
    </cfRule>
  </conditionalFormatting>
  <conditionalFormatting sqref="R94:R133">
    <cfRule type="expression" dxfId="27" priority="126">
      <formula>AND($E94&gt;0,$F94="year")</formula>
    </cfRule>
  </conditionalFormatting>
  <conditionalFormatting sqref="O16:Y93 X15:Y15 O15:V15 O14:Y14">
    <cfRule type="expression" dxfId="26" priority="7">
      <formula>ISBLANK($I$11)</formula>
    </cfRule>
  </conditionalFormatting>
  <conditionalFormatting sqref="A3:A8">
    <cfRule type="expression" dxfId="25" priority="57">
      <formula>ISBLANK($I$11)</formula>
    </cfRule>
  </conditionalFormatting>
  <conditionalFormatting sqref="Y15">
    <cfRule type="expression" dxfId="24" priority="38">
      <formula>$V15&gt;$H15</formula>
    </cfRule>
  </conditionalFormatting>
  <conditionalFormatting sqref="E4">
    <cfRule type="expression" dxfId="23" priority="31">
      <formula>"$Y14&lt;$K14"</formula>
    </cfRule>
    <cfRule type="expression" dxfId="22" priority="32">
      <formula>$Y4&gt;$K4</formula>
    </cfRule>
  </conditionalFormatting>
  <conditionalFormatting sqref="E5">
    <cfRule type="expression" dxfId="21" priority="28">
      <formula>"$Y14&lt;$K14"</formula>
    </cfRule>
    <cfRule type="expression" dxfId="20" priority="29">
      <formula>$Y5&gt;$K5</formula>
    </cfRule>
  </conditionalFormatting>
  <conditionalFormatting sqref="E6">
    <cfRule type="expression" dxfId="19" priority="25">
      <formula>"$Y14&lt;$K14"</formula>
    </cfRule>
    <cfRule type="expression" dxfId="18" priority="26">
      <formula>$Y6&gt;$K6</formula>
    </cfRule>
  </conditionalFormatting>
  <conditionalFormatting sqref="E3:E8 S3:S7">
    <cfRule type="expression" dxfId="17" priority="34">
      <formula>$S3&lt;$E3</formula>
    </cfRule>
    <cfRule type="expression" dxfId="16" priority="35">
      <formula>$S3&gt;$E3</formula>
    </cfRule>
  </conditionalFormatting>
  <conditionalFormatting sqref="S8">
    <cfRule type="expression" dxfId="15" priority="19">
      <formula>$S8&lt;$E8</formula>
    </cfRule>
    <cfRule type="expression" dxfId="14" priority="20">
      <formula>$S8&gt;$E8</formula>
    </cfRule>
  </conditionalFormatting>
  <conditionalFormatting sqref="X3:X6 J3:J6">
    <cfRule type="expression" dxfId="13" priority="18">
      <formula>$X3&lt;$J3</formula>
    </cfRule>
    <cfRule type="expression" dxfId="12" priority="41">
      <formula>$X3&gt;$J3</formula>
    </cfRule>
  </conditionalFormatting>
  <conditionalFormatting sqref="U8:X8">
    <cfRule type="expression" dxfId="11" priority="15">
      <formula>$W$8&lt;0</formula>
    </cfRule>
    <cfRule type="expression" dxfId="10" priority="16">
      <formula>$W$8&gt;0</formula>
    </cfRule>
  </conditionalFormatting>
  <conditionalFormatting sqref="K15:K93 Y15:Y93">
    <cfRule type="expression" dxfId="9" priority="36">
      <formula>$Y15=""</formula>
    </cfRule>
    <cfRule type="expression" dxfId="8" priority="37">
      <formula>"$Y14&lt;$K14"</formula>
    </cfRule>
    <cfRule type="expression" dxfId="7" priority="40">
      <formula>$Y15&gt;$K15</formula>
    </cfRule>
  </conditionalFormatting>
  <conditionalFormatting sqref="O1:Y12">
    <cfRule type="expression" dxfId="6" priority="12">
      <formula>ISBLANK($I$11)</formula>
    </cfRule>
  </conditionalFormatting>
  <conditionalFormatting sqref="O15:P36">
    <cfRule type="expression" dxfId="5" priority="4">
      <formula>ISBLANK($I$11)</formula>
    </cfRule>
  </conditionalFormatting>
  <conditionalFormatting sqref="J3 J4 J5 J6">
    <cfRule type="expression" dxfId="4" priority="5">
      <formula>ISBLANK($I$11)</formula>
    </cfRule>
  </conditionalFormatting>
  <conditionalFormatting sqref="H15:H28 H30:H93 V15:V93">
    <cfRule type="expression" dxfId="3" priority="2">
      <formula>$V15&gt;$H15</formula>
    </cfRule>
  </conditionalFormatting>
  <conditionalFormatting sqref="H24:H28">
    <cfRule type="expression" dxfId="2" priority="155">
      <formula>$V1048523&lt;$H1048523</formula>
    </cfRule>
  </conditionalFormatting>
  <conditionalFormatting sqref="S15:S93">
    <cfRule type="cellIs" dxfId="1" priority="17" operator="equal">
      <formula>0</formula>
    </cfRule>
  </conditionalFormatting>
  <conditionalFormatting sqref="W15">
    <cfRule type="expression" dxfId="0" priority="1">
      <formula>ISBLANK($I$11)</formula>
    </cfRule>
  </conditionalFormatting>
  <dataValidations disablePrompts="1" count="3">
    <dataValidation type="list" allowBlank="1" showInputMessage="1" showErrorMessage="1" sqref="F15:F93 T15:T93" xr:uid="{924822FA-C25B-4C2B-9993-9ACAB1861ABB}">
      <formula1>"year, hour"</formula1>
    </dataValidation>
    <dataValidation operator="greaterThanOrEqual" allowBlank="1" showInputMessage="1" showErrorMessage="1" promptTitle="Time entry" prompt="Hours and minutes should be enterd using a colon as the separator (hh:mm)" sqref="H15:H28 H30:H93" xr:uid="{E104F7D2-D2C3-4C4B-953F-11FB7F797AB6}"/>
    <dataValidation allowBlank="1" showInputMessage="1" showErrorMessage="1" promptTitle="Time Entry" prompt="Hours and minutes should be enterd using a colon as the separator (hh:mm)" sqref="V15:V93" xr:uid="{09CD3052-A4C3-445D-88B9-AA29202A078A}"/>
  </dataValidations>
  <hyperlinks>
    <hyperlink ref="G12:K12" location="'Business Running Costs'!A1" display="Once complete, fill in the Business Running Costs tab" xr:uid="{FD0B4050-A989-4E50-A3CD-CEF9C188E3E7}"/>
  </hyperlinks>
  <pageMargins left="0.25" right="0.25" top="0.75" bottom="0.75" header="0.3" footer="0.3"/>
  <pageSetup paperSize="9" orientation="landscape" r:id="rId1"/>
  <headerFooter>
    <oddHeader xml:space="preserve">&amp;C </oddHeader>
  </headerFooter>
  <tableParts count="2">
    <tablePart r:id="rId2"/>
    <tablePart r:id="rId3"/>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Role definitions" prompt="Face to face roles work with people e.g. carers._x000a_Background support roles ensure people can be cared for e.g. catering, laundry._x000a_Care management roles ensure care can take place e.g. the RI._x000a_Business management roles keep the business running e.g. admin." xr:uid="{801B04ED-8887-4D9F-BAC1-533C6C0F4CB8}">
          <x14:formula1>
            <xm:f>DropDownLists!$F$5:$F$10</xm:f>
          </x14:formula1>
          <xm:sqref>P15:P93 B40:B93 B20:B31</xm:sqref>
        </x14:dataValidation>
        <x14:dataValidation type="list" allowBlank="1" showInputMessage="1" showErrorMessage="1" promptTitle="Role definitions" prompt="Face to face roles work with people e.g. carers._x000a_Background support roles ensure people can be cared for e.g. catering, laundry._x000a_Care management roles ensure care can take place e.g. the RI._x000a_Business management roles keep the business running e.g. admin._x000a_" xr:uid="{D7E4E4CA-16D6-461B-89BE-506E4444CDC8}">
          <x14:formula1>
            <xm:f>DropDownLists!$F$5:$F$10</xm:f>
          </x14:formula1>
          <xm:sqref>B15:B19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6E74-7B5B-4D0D-AECE-D0653660406C}">
  <dimension ref="A1:R133"/>
  <sheetViews>
    <sheetView view="pageLayout" zoomScaleNormal="100" workbookViewId="0">
      <selection activeCell="N6" sqref="N6"/>
    </sheetView>
  </sheetViews>
  <sheetFormatPr defaultColWidth="8.84375" defaultRowHeight="12.9" x14ac:dyDescent="0.35"/>
  <cols>
    <col min="1" max="1" width="27.15234375" style="3" customWidth="1"/>
    <col min="2" max="2" width="28" style="8" customWidth="1"/>
    <col min="3" max="3" width="9.84375" style="3" customWidth="1"/>
    <col min="4" max="5" width="10.15234375" style="3" customWidth="1"/>
    <col min="6" max="8" width="8.4609375" style="3" customWidth="1"/>
    <col min="9" max="11" width="10.53515625" style="3" customWidth="1"/>
    <col min="12" max="12" width="8.84375" style="3"/>
    <col min="13" max="13" width="9.4609375" style="3" bestFit="1" customWidth="1"/>
    <col min="14" max="14" width="17.69140625" style="3" bestFit="1" customWidth="1"/>
    <col min="15" max="16" width="15.4609375" style="3" bestFit="1" customWidth="1"/>
    <col min="17" max="17" width="16.15234375" style="3" bestFit="1" customWidth="1"/>
    <col min="18" max="18" width="21.84375" style="3" bestFit="1" customWidth="1"/>
    <col min="19" max="19" width="6.15234375" style="3" bestFit="1" customWidth="1"/>
    <col min="20" max="16384" width="8.84375" style="3"/>
  </cols>
  <sheetData>
    <row r="1" spans="1:18" x14ac:dyDescent="0.35">
      <c r="A1" s="9"/>
      <c r="B1" s="4"/>
      <c r="C1" s="9"/>
      <c r="D1" s="9"/>
      <c r="E1" s="9"/>
      <c r="F1" s="9"/>
      <c r="G1" s="9"/>
      <c r="H1" s="9"/>
      <c r="I1" s="9"/>
      <c r="J1" s="9"/>
      <c r="K1" s="9"/>
    </row>
    <row r="2" spans="1:18" ht="37.5" customHeight="1" thickBot="1" x14ac:dyDescent="0.4">
      <c r="A2" s="9"/>
      <c r="B2" s="5"/>
      <c r="C2" s="10" t="s">
        <v>47</v>
      </c>
      <c r="D2" s="11" t="s">
        <v>48</v>
      </c>
      <c r="E2" s="11" t="s">
        <v>61</v>
      </c>
      <c r="F2" s="12"/>
      <c r="G2" s="9"/>
      <c r="H2" s="560" t="s">
        <v>54</v>
      </c>
      <c r="I2" s="560"/>
      <c r="J2" s="560"/>
      <c r="K2" s="9"/>
    </row>
    <row r="3" spans="1:18" ht="13.3" thickBot="1" x14ac:dyDescent="0.4">
      <c r="A3" s="9"/>
      <c r="B3" s="5" t="s">
        <v>45</v>
      </c>
      <c r="C3" s="10">
        <f>SUMIFS(Table13['# Staff in role],Table13[Role type],B3)</f>
        <v>0</v>
      </c>
      <c r="D3" s="13">
        <f>SUMIFS(Table13[Combined hrs per week],Table13[Role type],B3)</f>
        <v>0</v>
      </c>
      <c r="E3" s="40">
        <f>SUMIFS(Table13[Total Wage],Table13[Role type],B3)</f>
        <v>0</v>
      </c>
      <c r="F3" s="9"/>
      <c r="G3" s="9"/>
      <c r="H3" s="561" t="s">
        <v>50</v>
      </c>
      <c r="I3" s="561"/>
      <c r="J3" s="41">
        <f>'Staffing Wages'!J3</f>
        <v>365</v>
      </c>
      <c r="K3" s="30">
        <f>J3-(J4+J5)</f>
        <v>357</v>
      </c>
    </row>
    <row r="4" spans="1:18" ht="13.3" thickBot="1" x14ac:dyDescent="0.4">
      <c r="A4" s="9"/>
      <c r="B4" s="5" t="s">
        <v>46</v>
      </c>
      <c r="C4" s="10">
        <f>SUMIFS(Table13['# Staff in role],Table13[Role type],B4)</f>
        <v>0</v>
      </c>
      <c r="D4" s="13">
        <f>SUMIFS(Table13[Combined hrs per week],Table13[Role type],B4)</f>
        <v>0</v>
      </c>
      <c r="E4" s="40">
        <f>SUMIFS(Table13[Total Wage],Table13[Role type],B4)</f>
        <v>0</v>
      </c>
      <c r="F4" s="9"/>
      <c r="G4" s="9"/>
      <c r="H4" s="2" t="s">
        <v>51</v>
      </c>
      <c r="I4" s="2"/>
      <c r="J4" s="41">
        <f>'Staffing Wages'!J4</f>
        <v>6</v>
      </c>
      <c r="K4" s="9"/>
    </row>
    <row r="5" spans="1:18" ht="13.3" thickBot="1" x14ac:dyDescent="0.4">
      <c r="A5" s="9"/>
      <c r="B5" s="5" t="s">
        <v>59</v>
      </c>
      <c r="C5" s="10">
        <f>SUMIFS(Table13['# Staff in role],Table13[Role type],B5)</f>
        <v>0</v>
      </c>
      <c r="D5" s="13">
        <f>SUMIFS(Table13[Combined hrs per week],Table13[Role type],B5)</f>
        <v>0</v>
      </c>
      <c r="E5" s="40">
        <f>SUMIFS(Table13[Total Wage],Table13[Role type],B5)</f>
        <v>0</v>
      </c>
      <c r="F5" s="29">
        <f>SUM(D3:D6)</f>
        <v>0</v>
      </c>
      <c r="G5" s="9"/>
      <c r="H5" s="2" t="s">
        <v>52</v>
      </c>
      <c r="I5" s="2"/>
      <c r="J5" s="41">
        <f>'Staffing Wages'!J5</f>
        <v>2</v>
      </c>
      <c r="K5" s="9"/>
    </row>
    <row r="6" spans="1:18" ht="13.3" thickBot="1" x14ac:dyDescent="0.4">
      <c r="A6" s="15"/>
      <c r="B6" s="5" t="s">
        <v>60</v>
      </c>
      <c r="C6" s="10">
        <f>SUMIFS(Table13['# Staff in role],Table13[Role type],B6)</f>
        <v>0</v>
      </c>
      <c r="D6" s="13">
        <f>SUMIFS(Table13[Combined hrs per week],Table13[Role type],B6)</f>
        <v>0</v>
      </c>
      <c r="E6" s="40">
        <f>SUMIFS(Table13[Total Wage],Table13[Role type],B6)</f>
        <v>0</v>
      </c>
      <c r="F6" s="28">
        <f>SUM(E3:E6)</f>
        <v>0</v>
      </c>
      <c r="G6" s="15"/>
      <c r="H6" s="3" t="s">
        <v>49</v>
      </c>
      <c r="J6" s="45">
        <f>'Staffing Wages'!J6</f>
        <v>0.12</v>
      </c>
      <c r="K6" s="9"/>
    </row>
    <row r="7" spans="1:18" ht="118" customHeight="1" thickBot="1" x14ac:dyDescent="0.4">
      <c r="A7" s="555" t="s">
        <v>79</v>
      </c>
      <c r="B7" s="555"/>
      <c r="C7" s="555"/>
      <c r="D7" s="555"/>
      <c r="E7" s="555"/>
      <c r="F7" s="39" t="s">
        <v>78</v>
      </c>
      <c r="G7" s="43" t="s">
        <v>68</v>
      </c>
      <c r="H7" s="44" t="e">
        <f>IF(ISBLANK(#REF!),"",#REF!)</f>
        <v>#REF!</v>
      </c>
      <c r="I7" s="43" t="s">
        <v>69</v>
      </c>
      <c r="J7" s="44" t="e">
        <f>IF(ISBLANK(#REF!),"",#REF!)</f>
        <v>#REF!</v>
      </c>
      <c r="K7" s="42"/>
    </row>
    <row r="8" spans="1:18" ht="18.45" x14ac:dyDescent="0.5">
      <c r="A8" s="553" t="s">
        <v>42</v>
      </c>
      <c r="B8" s="554"/>
      <c r="C8" s="554"/>
      <c r="D8" s="554"/>
      <c r="E8" s="554"/>
      <c r="F8" s="554"/>
      <c r="G8" s="554"/>
      <c r="H8" s="554"/>
      <c r="I8" s="554"/>
      <c r="J8" s="554"/>
      <c r="K8" s="16"/>
    </row>
    <row r="9" spans="1:18" ht="64.5" customHeight="1" x14ac:dyDescent="0.35">
      <c r="A9" s="17" t="s">
        <v>35</v>
      </c>
      <c r="B9" s="6" t="s">
        <v>41</v>
      </c>
      <c r="C9" s="17" t="s">
        <v>36</v>
      </c>
      <c r="D9" s="6" t="s">
        <v>55</v>
      </c>
      <c r="E9" s="6" t="s">
        <v>56</v>
      </c>
      <c r="F9" s="17" t="s">
        <v>37</v>
      </c>
      <c r="G9" s="18" t="s">
        <v>43</v>
      </c>
      <c r="H9" s="19" t="s">
        <v>44</v>
      </c>
      <c r="I9" s="19" t="s">
        <v>57</v>
      </c>
      <c r="J9" s="19" t="s">
        <v>53</v>
      </c>
      <c r="K9" s="20" t="s">
        <v>62</v>
      </c>
      <c r="L9" s="21"/>
    </row>
    <row r="10" spans="1:18" x14ac:dyDescent="0.35">
      <c r="A10" s="22" t="e">
        <f>IF(ISBLANK(Table1[[#This Row],[Role]]),"",Table1[[#This Row],[Role]])</f>
        <v>#VALUE!</v>
      </c>
      <c r="B10" s="22" t="e">
        <f>IF(ISBLANK(Table1[[#This Row],[Role type]]),"",Table1[[#This Row],[Role type]])</f>
        <v>#VALUE!</v>
      </c>
      <c r="C10" s="46">
        <v>10.5</v>
      </c>
      <c r="D10" s="46" t="e">
        <f>IF(ISBLANK(Table1[[#This Row],[Hrly Staff only Bank Hol hrly rate 1]]),"",Table1[[#This Row],[Hrly Staff only Bank Hol hrly rate 1]])</f>
        <v>#VALUE!</v>
      </c>
      <c r="E10" s="46" t="e">
        <f>IF(ISBLANK(Table1[[#This Row],[Hrly Staff only Bank Hol hrly rate 2]]),"",Table1[[#This Row],[Hrly Staff only Bank Hol hrly rate 2]])</f>
        <v>#VALUE!</v>
      </c>
      <c r="F10" s="22" t="e">
        <f>IF(ISBLANK(Table1[[#This Row],[Per (Year /Hr)]]),"",Table1[[#This Row],[Per (Year /Hr)]])</f>
        <v>#VALUE!</v>
      </c>
      <c r="G10" s="22" t="e">
        <f>IF(ISBLANK(Table1[[#This Row],['# FTE staff in role]]),"",Table1[[#This Row],['# FTE staff in role]])</f>
        <v>#VALUE!</v>
      </c>
      <c r="H10" s="22" t="e">
        <f>IF(ISBLANK(Table1[[#This Row],[Combined hrs per week]]),"",Table1[[#This Row],[Combined hrs per week]])</f>
        <v>#VALUE!</v>
      </c>
      <c r="I10" s="31"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0" s="31" t="str">
        <f>IFERROR(IF(Table13[[#This Row],[Per]]="year","",$J$6*Table13[[#This Row],[Cohort Wage (includes BH for hrly rate staff)]]),"")</f>
        <v/>
      </c>
      <c r="K10" s="32" t="str">
        <f>IFERROR(IF(Table13[[#This Row],[Per]]="year",Table13[[#This Row],[Cohort Wage (includes BH for hrly rate staff)]]*Table13[[#This Row],['# Staff in role]],Table13[[#This Row],[Cohort Wage (includes BH for hrly rate staff)]]+Table13[[#This Row],[Hrly staff AL acrual]]),"")</f>
        <v/>
      </c>
      <c r="L10" s="21"/>
      <c r="M10" s="24"/>
      <c r="N10" s="24"/>
      <c r="O10" s="24"/>
      <c r="P10" s="24"/>
      <c r="Q10" s="24"/>
    </row>
    <row r="11" spans="1:18" x14ac:dyDescent="0.35">
      <c r="A11" s="22" t="e">
        <f>IF(ISBLANK(Table1[[#This Row],[Role]]),"",Table1[[#This Row],[Role]])</f>
        <v>#VALUE!</v>
      </c>
      <c r="B11" s="22" t="e">
        <f>IF(ISBLANK(Table1[[#This Row],[Role type]]),"",Table1[[#This Row],[Role type]])</f>
        <v>#VALUE!</v>
      </c>
      <c r="C11" s="46" t="e">
        <f>IF(ISBLANK(Table1[[#This Row],[Rate]]),"",Table1[[#This Row],[Rate]])</f>
        <v>#VALUE!</v>
      </c>
      <c r="D11" s="46" t="e">
        <f>IF(ISBLANK(Table1[[#This Row],[Hrly Staff only Bank Hol hrly rate 1]]),"",Table1[[#This Row],[Hrly Staff only Bank Hol hrly rate 1]])</f>
        <v>#VALUE!</v>
      </c>
      <c r="E11" s="46" t="e">
        <f>IF(ISBLANK(Table1[[#This Row],[Hrly Staff only Bank Hol hrly rate 2]]),"",Table1[[#This Row],[Hrly Staff only Bank Hol hrly rate 2]])</f>
        <v>#VALUE!</v>
      </c>
      <c r="F11" s="22" t="e">
        <f>IF(ISBLANK(Table1[[#This Row],[Per (Year /Hr)]]),"",Table1[[#This Row],[Per (Year /Hr)]])</f>
        <v>#VALUE!</v>
      </c>
      <c r="G11" s="22" t="e">
        <f>IF(ISBLANK(Table1[[#This Row],['# FTE staff in role]]),"",Table1[[#This Row],['# FTE staff in role]])</f>
        <v>#VALUE!</v>
      </c>
      <c r="H11" s="22" t="e">
        <f>IF(ISBLANK(Table1[[#This Row],[Combined hrs per week]]),"",Table1[[#This Row],[Combined hrs per week]])</f>
        <v>#VALUE!</v>
      </c>
      <c r="I11" s="31"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1" s="31" t="str">
        <f>IFERROR(IF(Table13[[#This Row],[Per]]="year","",$J$6*Table13[[#This Row],[Cohort Wage (includes BH for hrly rate staff)]]),"")</f>
        <v/>
      </c>
      <c r="K11" s="32" t="str">
        <f>IFERROR(IF(Table13[[#This Row],[Per]]="year",Table13[[#This Row],[Cohort Wage (includes BH for hrly rate staff)]]*Table13[[#This Row],['# Staff in role]],Table13[[#This Row],[Cohort Wage (includes BH for hrly rate staff)]]+Table13[[#This Row],[Hrly staff AL acrual]]),"")</f>
        <v/>
      </c>
      <c r="L11" s="21"/>
    </row>
    <row r="12" spans="1:18" x14ac:dyDescent="0.35">
      <c r="A12" s="22" t="e">
        <f>IF(ISBLANK(Table1[[#This Row],[Role]]),"",Table1[[#This Row],[Role]])</f>
        <v>#VALUE!</v>
      </c>
      <c r="B12" s="22" t="e">
        <f>IF(ISBLANK(Table1[[#This Row],[Role type]]),"",Table1[[#This Row],[Role type]])</f>
        <v>#VALUE!</v>
      </c>
      <c r="C12" s="46" t="e">
        <f>IF(ISBLANK(Table1[[#This Row],[Rate]]),"",Table1[[#This Row],[Rate]])</f>
        <v>#VALUE!</v>
      </c>
      <c r="D12" s="46" t="e">
        <f>IF(ISBLANK(Table1[[#This Row],[Hrly Staff only Bank Hol hrly rate 1]]),"",Table1[[#This Row],[Hrly Staff only Bank Hol hrly rate 1]])</f>
        <v>#VALUE!</v>
      </c>
      <c r="E12" s="46" t="e">
        <f>IF(ISBLANK(Table1[[#This Row],[Hrly Staff only Bank Hol hrly rate 2]]),"",Table1[[#This Row],[Hrly Staff only Bank Hol hrly rate 2]])</f>
        <v>#VALUE!</v>
      </c>
      <c r="F12" s="22" t="e">
        <f>IF(ISBLANK(Table1[[#This Row],[Per (Year /Hr)]]),"",Table1[[#This Row],[Per (Year /Hr)]])</f>
        <v>#VALUE!</v>
      </c>
      <c r="G12" s="22" t="e">
        <f>IF(ISBLANK(Table1[[#This Row],['# FTE staff in role]]),"",Table1[[#This Row],['# FTE staff in role]])</f>
        <v>#VALUE!</v>
      </c>
      <c r="H12" s="22" t="e">
        <f>IF(ISBLANK(Table1[[#This Row],[Combined hrs per week]]),"",Table1[[#This Row],[Combined hrs per week]])</f>
        <v>#VALUE!</v>
      </c>
      <c r="I12" s="31"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2" s="31" t="str">
        <f>IFERROR(IF(Table13[[#This Row],[Per]]="year","",$J$6*Table13[[#This Row],[Cohort Wage (includes BH for hrly rate staff)]]),"")</f>
        <v/>
      </c>
      <c r="K12" s="32" t="str">
        <f>IFERROR(IF(Table13[[#This Row],[Per]]="year",Table13[[#This Row],[Cohort Wage (includes BH for hrly rate staff)]]*Table13[[#This Row],['# Staff in role]],Table13[[#This Row],[Cohort Wage (includes BH for hrly rate staff)]]+Table13[[#This Row],[Hrly staff AL acrual]]),"")</f>
        <v/>
      </c>
      <c r="L12" s="21"/>
    </row>
    <row r="13" spans="1:18" x14ac:dyDescent="0.35">
      <c r="A13" s="22" t="e">
        <f>IF(ISBLANK(Table1[[#This Row],[Role]]),"",Table1[[#This Row],[Role]])</f>
        <v>#VALUE!</v>
      </c>
      <c r="B13" s="22" t="e">
        <f>IF(ISBLANK(Table1[[#This Row],[Role type]]),"",Table1[[#This Row],[Role type]])</f>
        <v>#VALUE!</v>
      </c>
      <c r="C13" s="46" t="e">
        <f>IF(ISBLANK(Table1[[#This Row],[Rate]]),"",Table1[[#This Row],[Rate]])</f>
        <v>#VALUE!</v>
      </c>
      <c r="D13" s="46" t="e">
        <f>IF(ISBLANK(Table1[[#This Row],[Hrly Staff only Bank Hol hrly rate 1]]),"",Table1[[#This Row],[Hrly Staff only Bank Hol hrly rate 1]])</f>
        <v>#VALUE!</v>
      </c>
      <c r="E13" s="46" t="e">
        <f>IF(ISBLANK(Table1[[#This Row],[Hrly Staff only Bank Hol hrly rate 2]]),"",Table1[[#This Row],[Hrly Staff only Bank Hol hrly rate 2]])</f>
        <v>#VALUE!</v>
      </c>
      <c r="F13" s="22" t="e">
        <f>IF(ISBLANK(Table1[[#This Row],[Per (Year /Hr)]]),"",Table1[[#This Row],[Per (Year /Hr)]])</f>
        <v>#VALUE!</v>
      </c>
      <c r="G13" s="22" t="e">
        <f>IF(ISBLANK(Table1[[#This Row],['# FTE staff in role]]),"",Table1[[#This Row],['# FTE staff in role]])</f>
        <v>#VALUE!</v>
      </c>
      <c r="H13" s="22" t="e">
        <f>IF(ISBLANK(Table1[[#This Row],[Combined hrs per week]]),"",Table1[[#This Row],[Combined hrs per week]])</f>
        <v>#VALUE!</v>
      </c>
      <c r="I13" s="31"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3" s="31" t="str">
        <f>IFERROR(IF(Table13[[#This Row],[Per]]="year","",$J$6*Table13[[#This Row],[Cohort Wage (includes BH for hrly rate staff)]]),"")</f>
        <v/>
      </c>
      <c r="K13" s="32" t="str">
        <f>IFERROR(IF(Table13[[#This Row],[Per]]="year",Table13[[#This Row],[Cohort Wage (includes BH for hrly rate staff)]]*Table13[[#This Row],['# Staff in role]],Table13[[#This Row],[Cohort Wage (includes BH for hrly rate staff)]]+Table13[[#This Row],[Hrly staff AL acrual]]),"")</f>
        <v/>
      </c>
      <c r="L13" s="21"/>
    </row>
    <row r="14" spans="1:18" x14ac:dyDescent="0.35">
      <c r="A14" s="22" t="e">
        <f>IF(ISBLANK(Table1[[#This Row],[Role]]),"",Table1[[#This Row],[Role]])</f>
        <v>#VALUE!</v>
      </c>
      <c r="B14" s="22" t="e">
        <f>IF(ISBLANK(Table1[[#This Row],[Role type]]),"",Table1[[#This Row],[Role type]])</f>
        <v>#VALUE!</v>
      </c>
      <c r="C14" s="46" t="e">
        <f>IF(ISBLANK(Table1[[#This Row],[Rate]]),"",Table1[[#This Row],[Rate]])</f>
        <v>#VALUE!</v>
      </c>
      <c r="D14" s="46" t="e">
        <f>IF(ISBLANK(Table1[[#This Row],[Hrly Staff only Bank Hol hrly rate 1]]),"",Table1[[#This Row],[Hrly Staff only Bank Hol hrly rate 1]])</f>
        <v>#VALUE!</v>
      </c>
      <c r="E14" s="46" t="e">
        <f>IF(ISBLANK(Table1[[#This Row],[Hrly Staff only Bank Hol hrly rate 2]]),"",Table1[[#This Row],[Hrly Staff only Bank Hol hrly rate 2]])</f>
        <v>#VALUE!</v>
      </c>
      <c r="F14" s="22" t="e">
        <f>IF(ISBLANK(Table1[[#This Row],[Per (Year /Hr)]]),"",Table1[[#This Row],[Per (Year /Hr)]])</f>
        <v>#VALUE!</v>
      </c>
      <c r="G14" s="22" t="e">
        <f>IF(ISBLANK(Table1[[#This Row],['# FTE staff in role]]),"",Table1[[#This Row],['# FTE staff in role]])</f>
        <v>#VALUE!</v>
      </c>
      <c r="H14" s="22" t="e">
        <f>IF(ISBLANK(Table1[[#This Row],[Combined hrs per week]]),"",Table1[[#This Row],[Combined hrs per week]])</f>
        <v>#VALUE!</v>
      </c>
      <c r="I14" s="31"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4" s="31" t="str">
        <f>IFERROR(IF(Table13[[#This Row],[Per]]="year","",$J$6*Table13[[#This Row],[Cohort Wage (includes BH for hrly rate staff)]]),"")</f>
        <v/>
      </c>
      <c r="K14" s="32" t="str">
        <f>IFERROR(IF(Table13[[#This Row],[Per]]="year",Table13[[#This Row],[Cohort Wage (includes BH for hrly rate staff)]]*Table13[[#This Row],['# Staff in role]],Table13[[#This Row],[Cohort Wage (includes BH for hrly rate staff)]]+Table13[[#This Row],[Hrly staff AL acrual]]),"")</f>
        <v/>
      </c>
      <c r="L14" s="21"/>
      <c r="M14" s="23"/>
      <c r="N14" s="24"/>
      <c r="O14" s="24"/>
      <c r="P14" s="24"/>
      <c r="Q14" s="24"/>
      <c r="R14" s="24"/>
    </row>
    <row r="15" spans="1:18" x14ac:dyDescent="0.35">
      <c r="A15" s="22" t="str">
        <f>IF(ISBLANK(Table1[[#This Row],[Role]]),"",Table1[[#This Row],[Role]])</f>
        <v>Qualified nurses</v>
      </c>
      <c r="B15" s="22" t="str">
        <f>IF(ISBLANK(Table1[[#This Row],[Role type]]),"",Table1[[#This Row],[Role type]])</f>
        <v>face to face support</v>
      </c>
      <c r="C15" s="46" t="str">
        <f>IF(ISBLANK(Table1[[#This Row],[Rate]]),"",Table1[[#This Row],[Rate]])</f>
        <v/>
      </c>
      <c r="D15" s="46" t="str">
        <f>IF(ISBLANK(Table1[[#This Row],[Hrly Staff only Bank Hol hrly rate 1]]),"",Table1[[#This Row],[Hrly Staff only Bank Hol hrly rate 1]])</f>
        <v/>
      </c>
      <c r="E15" s="46" t="str">
        <f>IF(ISBLANK(Table1[[#This Row],[Hrly Staff only Bank Hol hrly rate 2]]),"",Table1[[#This Row],[Hrly Staff only Bank Hol hrly rate 2]])</f>
        <v/>
      </c>
      <c r="F15" s="22" t="str">
        <f>IF(ISBLANK(Table1[[#This Row],[Per (Year /Hr)]]),"",Table1[[#This Row],[Per (Year /Hr)]])</f>
        <v>hour</v>
      </c>
      <c r="G15" s="22" t="str">
        <f>IF(ISBLANK(Table1[[#This Row],['# FTE staff in role]]),"",Table1[[#This Row],['# FTE staff in role]])</f>
        <v/>
      </c>
      <c r="H15" s="22" t="str">
        <f>IF(ISBLANK(Table1[[#This Row],[Combined hrs per week]]),"",Table1[[#This Row],[Combined hrs per week]])</f>
        <v/>
      </c>
      <c r="I15" s="31"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5" s="31" t="str">
        <f>IFERROR(IF(Table13[[#This Row],[Per]]="year","",$J$6*Table13[[#This Row],[Cohort Wage (includes BH for hrly rate staff)]]),"")</f>
        <v/>
      </c>
      <c r="K15" s="32" t="str">
        <f>IFERROR(IF(Table13[[#This Row],[Per]]="year",Table13[[#This Row],[Cohort Wage (includes BH for hrly rate staff)]]*Table13[[#This Row],['# Staff in role]],Table13[[#This Row],[Cohort Wage (includes BH for hrly rate staff)]]+Table13[[#This Row],[Hrly staff AL acrual]]),"")</f>
        <v/>
      </c>
      <c r="L15" s="21"/>
    </row>
    <row r="16" spans="1:18" x14ac:dyDescent="0.35">
      <c r="A16" s="22" t="str">
        <f>IF(ISBLANK(Table1[[#This Row],[Role]]),"",Table1[[#This Row],[Role]])</f>
        <v>Nursing Auxiliaries/ Advanced level 3's</v>
      </c>
      <c r="B16" s="22" t="str">
        <f>IF(ISBLANK(Table1[[#This Row],[Role type]]),"",Table1[[#This Row],[Role type]])</f>
        <v>face to face support</v>
      </c>
      <c r="C16" s="46" t="str">
        <f>IF(ISBLANK(Table1[[#This Row],[Rate]]),"",Table1[[#This Row],[Rate]])</f>
        <v/>
      </c>
      <c r="D16" s="46" t="str">
        <f>IF(ISBLANK(Table1[[#This Row],[Hrly Staff only Bank Hol hrly rate 1]]),"",Table1[[#This Row],[Hrly Staff only Bank Hol hrly rate 1]])</f>
        <v/>
      </c>
      <c r="E16" s="46" t="str">
        <f>IF(ISBLANK(Table1[[#This Row],[Hrly Staff only Bank Hol hrly rate 2]]),"",Table1[[#This Row],[Hrly Staff only Bank Hol hrly rate 2]])</f>
        <v/>
      </c>
      <c r="F16" s="22" t="str">
        <f>IF(ISBLANK(Table1[[#This Row],[Per (Year /Hr)]]),"",Table1[[#This Row],[Per (Year /Hr)]])</f>
        <v>hour</v>
      </c>
      <c r="G16" s="22" t="str">
        <f>IF(ISBLANK(Table1[[#This Row],['# FTE staff in role]]),"",Table1[[#This Row],['# FTE staff in role]])</f>
        <v/>
      </c>
      <c r="H16" s="22" t="str">
        <f>IF(ISBLANK(Table1[[#This Row],[Combined hrs per week]]),"",Table1[[#This Row],[Combined hrs per week]])</f>
        <v/>
      </c>
      <c r="I16" s="31"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6" s="31" t="str">
        <f>IFERROR(IF(Table13[[#This Row],[Per]]="year","",$J$6*Table13[[#This Row],[Cohort Wage (includes BH for hrly rate staff)]]),"")</f>
        <v/>
      </c>
      <c r="K16" s="32" t="str">
        <f>IFERROR(IF(Table13[[#This Row],[Per]]="year",Table13[[#This Row],[Cohort Wage (includes BH for hrly rate staff)]]*Table13[[#This Row],['# Staff in role]],Table13[[#This Row],[Cohort Wage (includes BH for hrly rate staff)]]+Table13[[#This Row],[Hrly staff AL acrual]]),"")</f>
        <v/>
      </c>
      <c r="L16" s="21"/>
    </row>
    <row r="17" spans="1:15" x14ac:dyDescent="0.35">
      <c r="A17" s="22" t="str">
        <f>IF(ISBLANK(Table1[[#This Row],[Role]]),"",Table1[[#This Row],[Role]])</f>
        <v>Lead Clinician</v>
      </c>
      <c r="B17" s="22" t="str">
        <f>IF(ISBLANK(Table1[[#This Row],[Role type]]),"",Table1[[#This Row],[Role type]])</f>
        <v>face to face support</v>
      </c>
      <c r="C17" s="46" t="str">
        <f>IF(ISBLANK(Table1[[#This Row],[Rate]]),"",Table1[[#This Row],[Rate]])</f>
        <v/>
      </c>
      <c r="D17" s="46" t="str">
        <f>IF(ISBLANK(Table1[[#This Row],[Hrly Staff only Bank Hol hrly rate 1]]),"",Table1[[#This Row],[Hrly Staff only Bank Hol hrly rate 1]])</f>
        <v/>
      </c>
      <c r="E17" s="46" t="str">
        <f>IF(ISBLANK(Table1[[#This Row],[Hrly Staff only Bank Hol hrly rate 2]]),"",Table1[[#This Row],[Hrly Staff only Bank Hol hrly rate 2]])</f>
        <v/>
      </c>
      <c r="F17" s="22" t="str">
        <f>IF(ISBLANK(Table1[[#This Row],[Per (Year /Hr)]]),"",Table1[[#This Row],[Per (Year /Hr)]])</f>
        <v>hour</v>
      </c>
      <c r="G17" s="22" t="str">
        <f>IF(ISBLANK(Table1[[#This Row],['# FTE staff in role]]),"",Table1[[#This Row],['# FTE staff in role]])</f>
        <v/>
      </c>
      <c r="H17" s="22" t="str">
        <f>IF(ISBLANK(Table1[[#This Row],[Combined hrs per week]]),"",Table1[[#This Row],[Combined hrs per week]])</f>
        <v/>
      </c>
      <c r="I17"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7" s="34" t="str">
        <f>IFERROR(IF(Table13[[#This Row],[Per]]="year","",$J$6*Table13[[#This Row],[Cohort Wage (includes BH for hrly rate staff)]]),"")</f>
        <v/>
      </c>
      <c r="K17" s="35" t="str">
        <f>IFERROR(IF(Table13[[#This Row],[Per]]="year",Table13[[#This Row],[Cohort Wage (includes BH for hrly rate staff)]]*Table13[[#This Row],['# Staff in role]],Table13[[#This Row],[Cohort Wage (includes BH for hrly rate staff)]]+Table13[[#This Row],[Hrly staff AL acrual]]),"")</f>
        <v/>
      </c>
    </row>
    <row r="18" spans="1:15" x14ac:dyDescent="0.35">
      <c r="A18" s="22" t="str">
        <f>IF(ISBLANK(Table1[[#This Row],[Role]]),"",Table1[[#This Row],[Role]])</f>
        <v>Well Being Coordinator</v>
      </c>
      <c r="B18" s="22" t="str">
        <f>IF(ISBLANK(Table1[[#This Row],[Role type]]),"",Table1[[#This Row],[Role type]])</f>
        <v>face to face support</v>
      </c>
      <c r="C18" s="46" t="str">
        <f>IF(ISBLANK(Table1[[#This Row],[Rate]]),"",Table1[[#This Row],[Rate]])</f>
        <v/>
      </c>
      <c r="D18" s="46" t="str">
        <f>IF(ISBLANK(Table1[[#This Row],[Hrly Staff only Bank Hol hrly rate 1]]),"",Table1[[#This Row],[Hrly Staff only Bank Hol hrly rate 1]])</f>
        <v/>
      </c>
      <c r="E18" s="46" t="str">
        <f>IF(ISBLANK(Table1[[#This Row],[Hrly Staff only Bank Hol hrly rate 2]]),"",Table1[[#This Row],[Hrly Staff only Bank Hol hrly rate 2]])</f>
        <v/>
      </c>
      <c r="F18" s="22" t="str">
        <f>IF(ISBLANK(Table1[[#This Row],[Per (Year /Hr)]]),"",Table1[[#This Row],[Per (Year /Hr)]])</f>
        <v>hour</v>
      </c>
      <c r="G18" s="22" t="str">
        <f>IF(ISBLANK(Table1[[#This Row],['# FTE staff in role]]),"",Table1[[#This Row],['# FTE staff in role]])</f>
        <v/>
      </c>
      <c r="H18" s="22" t="str">
        <f>IF(ISBLANK(Table1[[#This Row],[Combined hrs per week]]),"",Table1[[#This Row],[Combined hrs per week]])</f>
        <v/>
      </c>
      <c r="I18"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8" s="34" t="str">
        <f>IFERROR(IF(Table13[[#This Row],[Per]]="year","",$J$6*Table13[[#This Row],[Cohort Wage (includes BH for hrly rate staff)]]),"")</f>
        <v/>
      </c>
      <c r="K18" s="35" t="str">
        <f>IFERROR(IF(Table13[[#This Row],[Per]]="year",Table13[[#This Row],[Cohort Wage (includes BH for hrly rate staff)]]*Table13[[#This Row],['# Staff in role]],Table13[[#This Row],[Cohort Wage (includes BH for hrly rate staff)]]+Table13[[#This Row],[Hrly staff AL acrual]]),"")</f>
        <v/>
      </c>
    </row>
    <row r="19" spans="1:15" x14ac:dyDescent="0.35">
      <c r="A19" s="22" t="str">
        <f>IF(ISBLANK(Table1[[#This Row],[Role]]),"",Table1[[#This Row],[Role]])</f>
        <v>Care assistants without QCF</v>
      </c>
      <c r="B19" s="22" t="str">
        <f>IF(ISBLANK(Table1[[#This Row],[Role type]]),"",Table1[[#This Row],[Role type]])</f>
        <v>face to face support</v>
      </c>
      <c r="C19" s="46" t="str">
        <f>IF(ISBLANK(Table1[[#This Row],[Rate]]),"",Table1[[#This Row],[Rate]])</f>
        <v/>
      </c>
      <c r="D19" s="46" t="str">
        <f>IF(ISBLANK(Table1[[#This Row],[Hrly Staff only Bank Hol hrly rate 1]]),"",Table1[[#This Row],[Hrly Staff only Bank Hol hrly rate 1]])</f>
        <v/>
      </c>
      <c r="E19" s="46" t="str">
        <f>IF(ISBLANK(Table1[[#This Row],[Hrly Staff only Bank Hol hrly rate 2]]),"",Table1[[#This Row],[Hrly Staff only Bank Hol hrly rate 2]])</f>
        <v/>
      </c>
      <c r="F19" s="22" t="str">
        <f>IF(ISBLANK(Table1[[#This Row],[Per (Year /Hr)]]),"",Table1[[#This Row],[Per (Year /Hr)]])</f>
        <v>hour</v>
      </c>
      <c r="G19" s="22" t="str">
        <f>IF(ISBLANK(Table1[[#This Row],['# FTE staff in role]]),"",Table1[[#This Row],['# FTE staff in role]])</f>
        <v/>
      </c>
      <c r="H19" s="22" t="str">
        <f>IF(ISBLANK(Table1[[#This Row],[Combined hrs per week]]),"",Table1[[#This Row],[Combined hrs per week]])</f>
        <v/>
      </c>
      <c r="I19"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19" s="34" t="str">
        <f>IFERROR(IF(Table13[[#This Row],[Per]]="year","",$J$6*Table13[[#This Row],[Cohort Wage (includes BH for hrly rate staff)]]),"")</f>
        <v/>
      </c>
      <c r="K19" s="35" t="str">
        <f>IFERROR(IF(Table13[[#This Row],[Per]]="year",Table13[[#This Row],[Cohort Wage (includes BH for hrly rate staff)]]*Table13[[#This Row],['# Staff in role]],Table13[[#This Row],[Cohort Wage (includes BH for hrly rate staff)]]+Table13[[#This Row],[Hrly staff AL acrual]]),"")</f>
        <v/>
      </c>
      <c r="O19" s="24"/>
    </row>
    <row r="20" spans="1:15" x14ac:dyDescent="0.35">
      <c r="A20" s="22" t="str">
        <f>IF(ISBLANK(Table1[[#This Row],[Role]]),"",Table1[[#This Row],[Role]])</f>
        <v>Level 2 and above care assistants</v>
      </c>
      <c r="B20" s="22" t="str">
        <f>IF(ISBLANK(Table1[[#This Row],[Role type]]),"",Table1[[#This Row],[Role type]])</f>
        <v>face to face support</v>
      </c>
      <c r="C20" s="46" t="str">
        <f>IF(ISBLANK(Table1[[#This Row],[Rate]]),"",Table1[[#This Row],[Rate]])</f>
        <v/>
      </c>
      <c r="D20" s="46" t="str">
        <f>IF(ISBLANK(Table1[[#This Row],[Hrly Staff only Bank Hol hrly rate 1]]),"",Table1[[#This Row],[Hrly Staff only Bank Hol hrly rate 1]])</f>
        <v/>
      </c>
      <c r="E20" s="46" t="str">
        <f>IF(ISBLANK(Table1[[#This Row],[Hrly Staff only Bank Hol hrly rate 2]]),"",Table1[[#This Row],[Hrly Staff only Bank Hol hrly rate 2]])</f>
        <v/>
      </c>
      <c r="F20" s="22" t="str">
        <f>IF(ISBLANK(Table1[[#This Row],[Per (Year /Hr)]]),"",Table1[[#This Row],[Per (Year /Hr)]])</f>
        <v>hour</v>
      </c>
      <c r="G20" s="22" t="str">
        <f>IF(ISBLANK(Table1[[#This Row],['# FTE staff in role]]),"",Table1[[#This Row],['# FTE staff in role]])</f>
        <v/>
      </c>
      <c r="H20" s="22" t="str">
        <f>IF(ISBLANK(Table1[[#This Row],[Combined hrs per week]]),"",Table1[[#This Row],[Combined hrs per week]])</f>
        <v/>
      </c>
      <c r="I20"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0" s="34" t="str">
        <f>IFERROR(IF(Table13[[#This Row],[Per]]="year","",$J$6*Table13[[#This Row],[Cohort Wage (includes BH for hrly rate staff)]]),"")</f>
        <v/>
      </c>
      <c r="K20" s="35" t="str">
        <f>IFERROR(IF(Table13[[#This Row],[Per]]="year",Table13[[#This Row],[Cohort Wage (includes BH for hrly rate staff)]]*Table13[[#This Row],['# Staff in role]],Table13[[#This Row],[Cohort Wage (includes BH for hrly rate staff)]]+Table13[[#This Row],[Hrly staff AL acrual]]),"")</f>
        <v/>
      </c>
    </row>
    <row r="21" spans="1:15" x14ac:dyDescent="0.35">
      <c r="A21" s="22" t="str">
        <f>IF(ISBLANK(Table1[[#This Row],[Role]]),"",Table1[[#This Row],[Role]])</f>
        <v/>
      </c>
      <c r="B21" s="22" t="str">
        <f>IF(ISBLANK(Table1[[#This Row],[Role type]]),"",Table1[[#This Row],[Role type]])</f>
        <v/>
      </c>
      <c r="C21" s="46" t="str">
        <f>IF(ISBLANK(Table1[[#This Row],[Rate]]),"",Table1[[#This Row],[Rate]])</f>
        <v/>
      </c>
      <c r="D21" s="46" t="str">
        <f>IF(ISBLANK(Table1[[#This Row],[Hrly Staff only Bank Hol hrly rate 1]]),"",Table1[[#This Row],[Hrly Staff only Bank Hol hrly rate 1]])</f>
        <v/>
      </c>
      <c r="E21" s="46" t="str">
        <f>IF(ISBLANK(Table1[[#This Row],[Hrly Staff only Bank Hol hrly rate 2]]),"",Table1[[#This Row],[Hrly Staff only Bank Hol hrly rate 2]])</f>
        <v/>
      </c>
      <c r="F21" s="22" t="str">
        <f>IF(ISBLANK(Table1[[#This Row],[Per (Year /Hr)]]),"",Table1[[#This Row],[Per (Year /Hr)]])</f>
        <v/>
      </c>
      <c r="G21" s="22" t="str">
        <f>IF(ISBLANK(Table1[[#This Row],['# FTE staff in role]]),"",Table1[[#This Row],['# FTE staff in role]])</f>
        <v/>
      </c>
      <c r="H21" s="22" t="str">
        <f>IF(ISBLANK(Table1[[#This Row],[Combined hrs per week]]),"",Table1[[#This Row],[Combined hrs per week]])</f>
        <v/>
      </c>
      <c r="I21"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1" s="34" t="str">
        <f>IFERROR(IF(Table13[[#This Row],[Per]]="year","",$J$6*Table13[[#This Row],[Cohort Wage (includes BH for hrly rate staff)]]),"")</f>
        <v/>
      </c>
      <c r="K21" s="35" t="str">
        <f>IFERROR(IF(Table13[[#This Row],[Per]]="year",Table13[[#This Row],[Cohort Wage (includes BH for hrly rate staff)]]*Table13[[#This Row],['# Staff in role]],Table13[[#This Row],[Cohort Wage (includes BH for hrly rate staff)]]+Table13[[#This Row],[Hrly staff AL acrual]]),"")</f>
        <v/>
      </c>
    </row>
    <row r="22" spans="1:15" x14ac:dyDescent="0.35">
      <c r="A22" s="22" t="str">
        <f>IF(ISBLANK(Table1[[#This Row],[Role]]),"",Table1[[#This Row],[Role]])</f>
        <v>Domestics</v>
      </c>
      <c r="B22" s="22" t="str">
        <f>IF(ISBLANK(Table1[[#This Row],[Role type]]),"",Table1[[#This Row],[Role type]])</f>
        <v>background support for the individual</v>
      </c>
      <c r="C22" s="46" t="str">
        <f>IF(ISBLANK(Table1[[#This Row],[Rate]]),"",Table1[[#This Row],[Rate]])</f>
        <v/>
      </c>
      <c r="D22" s="46" t="str">
        <f>IF(ISBLANK(Table1[[#This Row],[Hrly Staff only Bank Hol hrly rate 1]]),"",Table1[[#This Row],[Hrly Staff only Bank Hol hrly rate 1]])</f>
        <v/>
      </c>
      <c r="E22" s="46" t="str">
        <f>IF(ISBLANK(Table1[[#This Row],[Hrly Staff only Bank Hol hrly rate 2]]),"",Table1[[#This Row],[Hrly Staff only Bank Hol hrly rate 2]])</f>
        <v/>
      </c>
      <c r="F22" s="22" t="str">
        <f>IF(ISBLANK(Table1[[#This Row],[Per (Year /Hr)]]),"",Table1[[#This Row],[Per (Year /Hr)]])</f>
        <v>hour</v>
      </c>
      <c r="G22" s="22" t="str">
        <f>IF(ISBLANK(Table1[[#This Row],['# FTE staff in role]]),"",Table1[[#This Row],['# FTE staff in role]])</f>
        <v/>
      </c>
      <c r="H22" s="22" t="str">
        <f>IF(ISBLANK(Table1[[#This Row],[Combined hrs per week]]),"",Table1[[#This Row],[Combined hrs per week]])</f>
        <v/>
      </c>
      <c r="I22"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2" s="34" t="str">
        <f>IFERROR(IF(Table13[[#This Row],[Per]]="year","",$J$6*Table13[[#This Row],[Cohort Wage (includes BH for hrly rate staff)]]),"")</f>
        <v/>
      </c>
      <c r="K22" s="35" t="str">
        <f>IFERROR(IF(Table13[[#This Row],[Per]]="year",Table13[[#This Row],[Cohort Wage (includes BH for hrly rate staff)]]*Table13[[#This Row],['# Staff in role]],Table13[[#This Row],[Cohort Wage (includes BH for hrly rate staff)]]+Table13[[#This Row],[Hrly staff AL acrual]]),"")</f>
        <v/>
      </c>
    </row>
    <row r="23" spans="1:15" x14ac:dyDescent="0.35">
      <c r="A23" s="22" t="str">
        <f>IF(ISBLANK(Table1[[#This Row],[Role]]),"",Table1[[#This Row],[Role]])</f>
        <v xml:space="preserve">Laundry </v>
      </c>
      <c r="B23" s="22" t="str">
        <f>IF(ISBLANK(Table1[[#This Row],[Role type]]),"",Table1[[#This Row],[Role type]])</f>
        <v>background support for the individual</v>
      </c>
      <c r="C23" s="46" t="str">
        <f>IF(ISBLANK(Table1[[#This Row],[Rate]]),"",Table1[[#This Row],[Rate]])</f>
        <v/>
      </c>
      <c r="D23" s="46" t="str">
        <f>IF(ISBLANK(Table1[[#This Row],[Hrly Staff only Bank Hol hrly rate 1]]),"",Table1[[#This Row],[Hrly Staff only Bank Hol hrly rate 1]])</f>
        <v/>
      </c>
      <c r="E23" s="46" t="str">
        <f>IF(ISBLANK(Table1[[#This Row],[Hrly Staff only Bank Hol hrly rate 2]]),"",Table1[[#This Row],[Hrly Staff only Bank Hol hrly rate 2]])</f>
        <v/>
      </c>
      <c r="F23" s="22" t="str">
        <f>IF(ISBLANK(Table1[[#This Row],[Per (Year /Hr)]]),"",Table1[[#This Row],[Per (Year /Hr)]])</f>
        <v>hour</v>
      </c>
      <c r="G23" s="22" t="str">
        <f>IF(ISBLANK(Table1[[#This Row],['# FTE staff in role]]),"",Table1[[#This Row],['# FTE staff in role]])</f>
        <v/>
      </c>
      <c r="H23" s="22" t="str">
        <f>IF(ISBLANK(Table1[[#This Row],[Combined hrs per week]]),"",Table1[[#This Row],[Combined hrs per week]])</f>
        <v/>
      </c>
      <c r="I23"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3" s="34" t="str">
        <f>IFERROR(IF(Table13[[#This Row],[Per]]="year","",$J$6*Table13[[#This Row],[Cohort Wage (includes BH for hrly rate staff)]]),"")</f>
        <v/>
      </c>
      <c r="K23" s="35" t="str">
        <f>IFERROR(IF(Table13[[#This Row],[Per]]="year",Table13[[#This Row],[Cohort Wage (includes BH for hrly rate staff)]]*Table13[[#This Row],['# Staff in role]],Table13[[#This Row],[Cohort Wage (includes BH for hrly rate staff)]]+Table13[[#This Row],[Hrly staff AL acrual]]),"")</f>
        <v/>
      </c>
    </row>
    <row r="24" spans="1:15" x14ac:dyDescent="0.35">
      <c r="A24" s="22" t="str">
        <f>IF(ISBLANK(Table1[[#This Row],[Role]]),"",Table1[[#This Row],[Role]])</f>
        <v>Handyman/Gardener</v>
      </c>
      <c r="B24" s="22" t="str">
        <f>IF(ISBLANK(Table1[[#This Row],[Role type]]),"",Table1[[#This Row],[Role type]])</f>
        <v>background support for the individual</v>
      </c>
      <c r="C24" s="46" t="str">
        <f>IF(ISBLANK(Table1[[#This Row],[Rate]]),"",Table1[[#This Row],[Rate]])</f>
        <v/>
      </c>
      <c r="D24" s="46" t="str">
        <f>IF(ISBLANK(Table1[[#This Row],[Hrly Staff only Bank Hol hrly rate 1]]),"",Table1[[#This Row],[Hrly Staff only Bank Hol hrly rate 1]])</f>
        <v/>
      </c>
      <c r="E24" s="46" t="str">
        <f>IF(ISBLANK(Table1[[#This Row],[Hrly Staff only Bank Hol hrly rate 2]]),"",Table1[[#This Row],[Hrly Staff only Bank Hol hrly rate 2]])</f>
        <v/>
      </c>
      <c r="F24" s="22" t="str">
        <f>IF(ISBLANK(Table1[[#This Row],[Per (Year /Hr)]]),"",Table1[[#This Row],[Per (Year /Hr)]])</f>
        <v>hour</v>
      </c>
      <c r="G24" s="22" t="str">
        <f>IF(ISBLANK(Table1[[#This Row],['# FTE staff in role]]),"",Table1[[#This Row],['# FTE staff in role]])</f>
        <v/>
      </c>
      <c r="H24" s="22" t="str">
        <f>IF(ISBLANK(Table1[[#This Row],[Combined hrs per week]]),"",Table1[[#This Row],[Combined hrs per week]])</f>
        <v/>
      </c>
      <c r="I24"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4" s="34" t="str">
        <f>IFERROR(IF(Table13[[#This Row],[Per]]="year","",$J$6*Table13[[#This Row],[Cohort Wage (includes BH for hrly rate staff)]]),"")</f>
        <v/>
      </c>
      <c r="K24" s="35" t="str">
        <f>IFERROR(IF(Table13[[#This Row],[Per]]="year",Table13[[#This Row],[Cohort Wage (includes BH for hrly rate staff)]]*Table13[[#This Row],['# Staff in role]],Table13[[#This Row],[Cohort Wage (includes BH for hrly rate staff)]]+Table13[[#This Row],[Hrly staff AL acrual]]),"")</f>
        <v/>
      </c>
    </row>
    <row r="25" spans="1:15" x14ac:dyDescent="0.35">
      <c r="A25" s="22" t="str">
        <f>IF(ISBLANK(Table1[[#This Row],[Role]]),"",Table1[[#This Row],[Role]])</f>
        <v>Kitchen assistants</v>
      </c>
      <c r="B25" s="22" t="str">
        <f>IF(ISBLANK(Table1[[#This Row],[Role type]]),"",Table1[[#This Row],[Role type]])</f>
        <v>background support for the individual</v>
      </c>
      <c r="C25" s="46" t="str">
        <f>IF(ISBLANK(Table1[[#This Row],[Rate]]),"",Table1[[#This Row],[Rate]])</f>
        <v/>
      </c>
      <c r="D25" s="46" t="str">
        <f>IF(ISBLANK(Table1[[#This Row],[Hrly Staff only Bank Hol hrly rate 1]]),"",Table1[[#This Row],[Hrly Staff only Bank Hol hrly rate 1]])</f>
        <v/>
      </c>
      <c r="E25" s="46" t="str">
        <f>IF(ISBLANK(Table1[[#This Row],[Hrly Staff only Bank Hol hrly rate 2]]),"",Table1[[#This Row],[Hrly Staff only Bank Hol hrly rate 2]])</f>
        <v/>
      </c>
      <c r="F25" s="22" t="str">
        <f>IF(ISBLANK(Table1[[#This Row],[Per (Year /Hr)]]),"",Table1[[#This Row],[Per (Year /Hr)]])</f>
        <v>hour</v>
      </c>
      <c r="G25" s="22" t="str">
        <f>IF(ISBLANK(Table1[[#This Row],['# FTE staff in role]]),"",Table1[[#This Row],['# FTE staff in role]])</f>
        <v/>
      </c>
      <c r="H25" s="22" t="str">
        <f>IF(ISBLANK(Table1[[#This Row],[Combined hrs per week]]),"",Table1[[#This Row],[Combined hrs per week]])</f>
        <v/>
      </c>
      <c r="I25"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5" s="34" t="str">
        <f>IFERROR(IF(Table13[[#This Row],[Per]]="year","",$J$6*Table13[[#This Row],[Cohort Wage (includes BH for hrly rate staff)]]),"")</f>
        <v/>
      </c>
      <c r="K25" s="35" t="str">
        <f>IFERROR(IF(Table13[[#This Row],[Per]]="year",Table13[[#This Row],[Cohort Wage (includes BH for hrly rate staff)]]*Table13[[#This Row],['# Staff in role]],Table13[[#This Row],[Cohort Wage (includes BH for hrly rate staff)]]+Table13[[#This Row],[Hrly staff AL acrual]]),"")</f>
        <v/>
      </c>
    </row>
    <row r="26" spans="1:15" x14ac:dyDescent="0.35">
      <c r="A26" s="22" t="str">
        <f>IF(ISBLANK(Table1[[#This Row],[Role]]),"",Table1[[#This Row],[Role]])</f>
        <v>Chef/ Cook</v>
      </c>
      <c r="B26" s="22" t="str">
        <f>IF(ISBLANK(Table1[[#This Row],[Role type]]),"",Table1[[#This Row],[Role type]])</f>
        <v>background support for the individual</v>
      </c>
      <c r="C26" s="46" t="str">
        <f>IF(ISBLANK(Table1[[#This Row],[Rate]]),"",Table1[[#This Row],[Rate]])</f>
        <v/>
      </c>
      <c r="D26" s="46" t="str">
        <f>IF(ISBLANK(Table1[[#This Row],[Hrly Staff only Bank Hol hrly rate 1]]),"",Table1[[#This Row],[Hrly Staff only Bank Hol hrly rate 1]])</f>
        <v/>
      </c>
      <c r="E26" s="46" t="str">
        <f>IF(ISBLANK(Table1[[#This Row],[Hrly Staff only Bank Hol hrly rate 2]]),"",Table1[[#This Row],[Hrly Staff only Bank Hol hrly rate 2]])</f>
        <v/>
      </c>
      <c r="F26" s="22" t="str">
        <f>IF(ISBLANK(Table1[[#This Row],[Per (Year /Hr)]]),"",Table1[[#This Row],[Per (Year /Hr)]])</f>
        <v>hour</v>
      </c>
      <c r="G26" s="22" t="str">
        <f>IF(ISBLANK(Table1[[#This Row],['# FTE staff in role]]),"",Table1[[#This Row],['# FTE staff in role]])</f>
        <v/>
      </c>
      <c r="H26" s="22" t="str">
        <f>IF(ISBLANK(Table1[[#This Row],[Combined hrs per week]]),"",Table1[[#This Row],[Combined hrs per week]])</f>
        <v/>
      </c>
      <c r="I26"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6" s="34" t="str">
        <f>IFERROR(IF(Table13[[#This Row],[Per]]="year","",$J$6*Table13[[#This Row],[Cohort Wage (includes BH for hrly rate staff)]]),"")</f>
        <v/>
      </c>
      <c r="K26" s="35" t="str">
        <f>IFERROR(IF(Table13[[#This Row],[Per]]="year",Table13[[#This Row],[Cohort Wage (includes BH for hrly rate staff)]]*Table13[[#This Row],['# Staff in role]],Table13[[#This Row],[Cohort Wage (includes BH for hrly rate staff)]]+Table13[[#This Row],[Hrly staff AL acrual]]),"")</f>
        <v/>
      </c>
    </row>
    <row r="27" spans="1:15" x14ac:dyDescent="0.35">
      <c r="A27" s="22" t="str">
        <f>IF(ISBLANK(Table1[[#This Row],[Role]]),"",Table1[[#This Row],[Role]])</f>
        <v>Administration</v>
      </c>
      <c r="B27" s="22" t="str">
        <f>IF(ISBLANK(Table1[[#This Row],[Role type]]),"",Table1[[#This Row],[Role type]])</f>
        <v>care management</v>
      </c>
      <c r="C27" s="46" t="str">
        <f>IF(ISBLANK(Table1[[#This Row],[Rate]]),"",Table1[[#This Row],[Rate]])</f>
        <v/>
      </c>
      <c r="D27" s="46" t="str">
        <f>IF(ISBLANK(Table1[[#This Row],[Hrly Staff only Bank Hol hrly rate 1]]),"",Table1[[#This Row],[Hrly Staff only Bank Hol hrly rate 1]])</f>
        <v/>
      </c>
      <c r="E27" s="46" t="str">
        <f>IF(ISBLANK(Table1[[#This Row],[Hrly Staff only Bank Hol hrly rate 2]]),"",Table1[[#This Row],[Hrly Staff only Bank Hol hrly rate 2]])</f>
        <v/>
      </c>
      <c r="F27" s="22" t="str">
        <f>IF(ISBLANK(Table1[[#This Row],[Per (Year /Hr)]]),"",Table1[[#This Row],[Per (Year /Hr)]])</f>
        <v>hour</v>
      </c>
      <c r="G27" s="22" t="str">
        <f>IF(ISBLANK(Table1[[#This Row],['# FTE staff in role]]),"",Table1[[#This Row],['# FTE staff in role]])</f>
        <v/>
      </c>
      <c r="H27" s="22" t="str">
        <f>IF(ISBLANK(Table1[[#This Row],[Combined hrs per week]]),"",Table1[[#This Row],[Combined hrs per week]])</f>
        <v/>
      </c>
      <c r="I27"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7" s="34" t="str">
        <f>IFERROR(IF(Table13[[#This Row],[Per]]="year","",$J$6*Table13[[#This Row],[Cohort Wage (includes BH for hrly rate staff)]]),"")</f>
        <v/>
      </c>
      <c r="K27" s="35" t="str">
        <f>IFERROR(IF(Table13[[#This Row],[Per]]="year",Table13[[#This Row],[Cohort Wage (includes BH for hrly rate staff)]]*Table13[[#This Row],['# Staff in role]],Table13[[#This Row],[Cohort Wage (includes BH for hrly rate staff)]]+Table13[[#This Row],[Hrly staff AL acrual]]),"")</f>
        <v/>
      </c>
    </row>
    <row r="28" spans="1:15" x14ac:dyDescent="0.35">
      <c r="A28" s="22" t="str">
        <f>IF(ISBLANK(Table1[[#This Row],[Role]]),"",Table1[[#This Row],[Role]])</f>
        <v>Manager</v>
      </c>
      <c r="B28" s="22" t="str">
        <f>IF(ISBLANK(Table1[[#This Row],[Role type]]),"",Table1[[#This Row],[Role type]])</f>
        <v>care management</v>
      </c>
      <c r="C28" s="46" t="str">
        <f>IF(ISBLANK(Table1[[#This Row],[Rate]]),"",Table1[[#This Row],[Rate]])</f>
        <v/>
      </c>
      <c r="D28" s="46" t="str">
        <f>IF(ISBLANK(Table1[[#This Row],[Hrly Staff only Bank Hol hrly rate 1]]),"",Table1[[#This Row],[Hrly Staff only Bank Hol hrly rate 1]])</f>
        <v/>
      </c>
      <c r="E28" s="46" t="str">
        <f>IF(ISBLANK(Table1[[#This Row],[Hrly Staff only Bank Hol hrly rate 2]]),"",Table1[[#This Row],[Hrly Staff only Bank Hol hrly rate 2]])</f>
        <v/>
      </c>
      <c r="F28" s="22" t="str">
        <f>IF(ISBLANK(Table1[[#This Row],[Per (Year /Hr)]]),"",Table1[[#This Row],[Per (Year /Hr)]])</f>
        <v>year</v>
      </c>
      <c r="G28" s="22" t="str">
        <f>IF(ISBLANK(Table1[[#This Row],['# FTE staff in role]]),"",Table1[[#This Row],['# FTE staff in role]])</f>
        <v/>
      </c>
      <c r="H28" s="22" t="str">
        <f>IF(ISBLANK(Table1[[#This Row],[Combined hrs per week]]),"",Table1[[#This Row],[Combined hrs per week]])</f>
        <v/>
      </c>
      <c r="I28"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8" s="34" t="str">
        <f>IFERROR(IF(Table13[[#This Row],[Per]]="year","",$J$6*Table13[[#This Row],[Cohort Wage (includes BH for hrly rate staff)]]),"")</f>
        <v/>
      </c>
      <c r="K28" s="35" t="str">
        <f>IFERROR(IF(Table13[[#This Row],[Per]]="year",Table13[[#This Row],[Cohort Wage (includes BH for hrly rate staff)]]*Table13[[#This Row],['# Staff in role]],Table13[[#This Row],[Cohort Wage (includes BH for hrly rate staff)]]+Table13[[#This Row],[Hrly staff AL acrual]]),"")</f>
        <v/>
      </c>
    </row>
    <row r="29" spans="1:15" x14ac:dyDescent="0.35">
      <c r="A29" s="22" t="str">
        <f>IF(ISBLANK(Table1[[#This Row],[Role]]),"",Table1[[#This Row],[Role]])</f>
        <v>Agency Staff</v>
      </c>
      <c r="B29" s="22" t="str">
        <f>IF(ISBLANK(Table1[[#This Row],[Role type]]),"",Table1[[#This Row],[Role type]])</f>
        <v>agency</v>
      </c>
      <c r="C29" s="46" t="str">
        <f>IF(ISBLANK(Table1[[#This Row],[Rate]]),"",Table1[[#This Row],[Rate]])</f>
        <v/>
      </c>
      <c r="D29" s="46" t="str">
        <f>IF(ISBLANK(Table1[[#This Row],[Hrly Staff only Bank Hol hrly rate 1]]),"",Table1[[#This Row],[Hrly Staff only Bank Hol hrly rate 1]])</f>
        <v/>
      </c>
      <c r="E29" s="46" t="str">
        <f>IF(ISBLANK(Table1[[#This Row],[Hrly Staff only Bank Hol hrly rate 2]]),"",Table1[[#This Row],[Hrly Staff only Bank Hol hrly rate 2]])</f>
        <v/>
      </c>
      <c r="F29" s="22" t="str">
        <f>IF(ISBLANK(Table1[[#This Row],[Per (Year /Hr)]]),"",Table1[[#This Row],[Per (Year /Hr)]])</f>
        <v>year</v>
      </c>
      <c r="G29" s="22" t="str">
        <f>IF(ISBLANK(Table1[[#This Row],['# FTE staff in role]]),"",Table1[[#This Row],['# FTE staff in role]])</f>
        <v/>
      </c>
      <c r="H29" s="22" t="str">
        <f>IF(ISBLANK(Table1[[#This Row],[Combined hrs per week]]),"",Table1[[#This Row],[Combined hrs per week]])</f>
        <v/>
      </c>
      <c r="I29"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29" s="34" t="str">
        <f>IFERROR(IF(Table13[[#This Row],[Per]]="year","",$J$6*Table13[[#This Row],[Cohort Wage (includes BH for hrly rate staff)]]),"")</f>
        <v/>
      </c>
      <c r="K29" s="35" t="str">
        <f>IFERROR(IF(Table13[[#This Row],[Per]]="year",Table13[[#This Row],[Cohort Wage (includes BH for hrly rate staff)]]*Table13[[#This Row],['# Staff in role]],Table13[[#This Row],[Cohort Wage (includes BH for hrly rate staff)]]+Table13[[#This Row],[Hrly staff AL acrual]]),"")</f>
        <v/>
      </c>
    </row>
    <row r="30" spans="1:15" x14ac:dyDescent="0.35">
      <c r="A30" s="22" t="str">
        <f>IF(ISBLANK(Table1[[#This Row],[Role]]),"",Table1[[#This Row],[Role]])</f>
        <v>Staff on training courses/Supernumerate</v>
      </c>
      <c r="B30" s="22" t="str">
        <f>IF(ISBLANK(Table1[[#This Row],[Role type]]),"",Table1[[#This Row],[Role type]])</f>
        <v>background support for the individual</v>
      </c>
      <c r="C30" s="46" t="str">
        <f>IF(ISBLANK(Table1[[#This Row],[Rate]]),"",Table1[[#This Row],[Rate]])</f>
        <v/>
      </c>
      <c r="D30" s="46" t="str">
        <f>IF(ISBLANK(Table1[[#This Row],[Hrly Staff only Bank Hol hrly rate 1]]),"",Table1[[#This Row],[Hrly Staff only Bank Hol hrly rate 1]])</f>
        <v/>
      </c>
      <c r="E30" s="46" t="str">
        <f>IF(ISBLANK(Table1[[#This Row],[Hrly Staff only Bank Hol hrly rate 2]]),"",Table1[[#This Row],[Hrly Staff only Bank Hol hrly rate 2]])</f>
        <v/>
      </c>
      <c r="F30" s="22" t="str">
        <f>IF(ISBLANK(Table1[[#This Row],[Per (Year /Hr)]]),"",Table1[[#This Row],[Per (Year /Hr)]])</f>
        <v/>
      </c>
      <c r="G30" s="22" t="str">
        <f>IF(ISBLANK(Table1[[#This Row],['# FTE staff in role]]),"",Table1[[#This Row],['# FTE staff in role]])</f>
        <v/>
      </c>
      <c r="H30" s="22" t="str">
        <f>IF(ISBLANK(Table1[[#This Row],[Combined hrs per week]]),"",Table1[[#This Row],[Combined hrs per week]])</f>
        <v/>
      </c>
      <c r="I30"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0" s="34" t="str">
        <f>IFERROR(IF(Table13[[#This Row],[Per]]="year","",$J$6*Table13[[#This Row],[Cohort Wage (includes BH for hrly rate staff)]]),"")</f>
        <v/>
      </c>
      <c r="K30" s="35" t="str">
        <f>IFERROR(IF(Table13[[#This Row],[Per]]="year",Table13[[#This Row],[Cohort Wage (includes BH for hrly rate staff)]]*Table13[[#This Row],['# Staff in role]],Table13[[#This Row],[Cohort Wage (includes BH for hrly rate staff)]]+Table13[[#This Row],[Hrly staff AL acrual]]),"")</f>
        <v/>
      </c>
    </row>
    <row r="31" spans="1:15" x14ac:dyDescent="0.35">
      <c r="A31" s="22" t="str">
        <f>IF(ISBLANK(Table1[[#This Row],[Role]]),"",Table1[[#This Row],[Role]])</f>
        <v/>
      </c>
      <c r="B31" s="22" t="str">
        <f>IF(ISBLANK(Table1[[#This Row],[Role type]]),"",Table1[[#This Row],[Role type]])</f>
        <v/>
      </c>
      <c r="C31" s="46" t="str">
        <f>IF(ISBLANK(Table1[[#This Row],[Rate]]),"",Table1[[#This Row],[Rate]])</f>
        <v/>
      </c>
      <c r="D31" s="46" t="str">
        <f>IF(ISBLANK(Table1[[#This Row],[Hrly Staff only Bank Hol hrly rate 1]]),"",Table1[[#This Row],[Hrly Staff only Bank Hol hrly rate 1]])</f>
        <v/>
      </c>
      <c r="E31" s="46" t="str">
        <f>IF(ISBLANK(Table1[[#This Row],[Hrly Staff only Bank Hol hrly rate 2]]),"",Table1[[#This Row],[Hrly Staff only Bank Hol hrly rate 2]])</f>
        <v/>
      </c>
      <c r="F31" s="22" t="str">
        <f>IF(ISBLANK(Table1[[#This Row],[Per (Year /Hr)]]),"",Table1[[#This Row],[Per (Year /Hr)]])</f>
        <v/>
      </c>
      <c r="G31" s="22" t="str">
        <f>IF(ISBLANK(Table1[[#This Row],['# FTE staff in role]]),"",Table1[[#This Row],['# FTE staff in role]])</f>
        <v/>
      </c>
      <c r="H31" s="22" t="str">
        <f>IF(ISBLANK(Table1[[#This Row],[Combined hrs per week]]),"",Table1[[#This Row],[Combined hrs per week]])</f>
        <v/>
      </c>
      <c r="I31"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1" s="34" t="str">
        <f>IFERROR(IF(Table13[[#This Row],[Per]]="year","",$J$6*Table13[[#This Row],[Cohort Wage (includes BH for hrly rate staff)]]),"")</f>
        <v/>
      </c>
      <c r="K31" s="35" t="str">
        <f>IFERROR(IF(Table13[[#This Row],[Per]]="year",Table13[[#This Row],[Cohort Wage (includes BH for hrly rate staff)]]*Table13[[#This Row],['# Staff in role]],Table13[[#This Row],[Cohort Wage (includes BH for hrly rate staff)]]+Table13[[#This Row],[Hrly staff AL acrual]]),"")</f>
        <v/>
      </c>
    </row>
    <row r="32" spans="1:15" x14ac:dyDescent="0.35">
      <c r="A32" s="22" t="str">
        <f>IF(ISBLANK(Table1[[#This Row],[Role]]),"",Table1[[#This Row],[Role]])</f>
        <v/>
      </c>
      <c r="B32" s="22" t="str">
        <f>IF(ISBLANK(Table1[[#This Row],[Role type]]),"",Table1[[#This Row],[Role type]])</f>
        <v/>
      </c>
      <c r="C32" s="46" t="str">
        <f>IF(ISBLANK(Table1[[#This Row],[Rate]]),"",Table1[[#This Row],[Rate]])</f>
        <v/>
      </c>
      <c r="D32" s="46" t="str">
        <f>IF(ISBLANK(Table1[[#This Row],[Hrly Staff only Bank Hol hrly rate 1]]),"",Table1[[#This Row],[Hrly Staff only Bank Hol hrly rate 1]])</f>
        <v/>
      </c>
      <c r="E32" s="46" t="str">
        <f>IF(ISBLANK(Table1[[#This Row],[Hrly Staff only Bank Hol hrly rate 2]]),"",Table1[[#This Row],[Hrly Staff only Bank Hol hrly rate 2]])</f>
        <v/>
      </c>
      <c r="F32" s="22" t="str">
        <f>IF(ISBLANK(Table1[[#This Row],[Per (Year /Hr)]]),"",Table1[[#This Row],[Per (Year /Hr)]])</f>
        <v/>
      </c>
      <c r="G32" s="22" t="str">
        <f>IF(ISBLANK(Table1[[#This Row],['# FTE staff in role]]),"",Table1[[#This Row],['# FTE staff in role]])</f>
        <v/>
      </c>
      <c r="H32" s="22" t="str">
        <f>IF(ISBLANK(Table1[[#This Row],[Combined hrs per week]]),"",Table1[[#This Row],[Combined hrs per week]])</f>
        <v/>
      </c>
      <c r="I32"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2" s="34" t="str">
        <f>IFERROR(IF(Table13[[#This Row],[Per]]="year","",$J$6*Table13[[#This Row],[Cohort Wage (includes BH for hrly rate staff)]]),"")</f>
        <v/>
      </c>
      <c r="K32" s="35" t="str">
        <f>IFERROR(IF(Table13[[#This Row],[Per]]="year",Table13[[#This Row],[Cohort Wage (includes BH for hrly rate staff)]]*Table13[[#This Row],['# Staff in role]],Table13[[#This Row],[Cohort Wage (includes BH for hrly rate staff)]]+Table13[[#This Row],[Hrly staff AL acrual]]),"")</f>
        <v/>
      </c>
    </row>
    <row r="33" spans="1:11" x14ac:dyDescent="0.35">
      <c r="A33" s="22" t="str">
        <f>IF(ISBLANK(Table1[[#This Row],[Role]]),"",Table1[[#This Row],[Role]])</f>
        <v/>
      </c>
      <c r="B33" s="22" t="str">
        <f>IF(ISBLANK(Table1[[#This Row],[Role type]]),"",Table1[[#This Row],[Role type]])</f>
        <v/>
      </c>
      <c r="C33" s="46" t="str">
        <f>IF(ISBLANK(Table1[[#This Row],[Rate]]),"",Table1[[#This Row],[Rate]])</f>
        <v/>
      </c>
      <c r="D33" s="46" t="str">
        <f>IF(ISBLANK(Table1[[#This Row],[Hrly Staff only Bank Hol hrly rate 1]]),"",Table1[[#This Row],[Hrly Staff only Bank Hol hrly rate 1]])</f>
        <v/>
      </c>
      <c r="E33" s="46" t="str">
        <f>IF(ISBLANK(Table1[[#This Row],[Hrly Staff only Bank Hol hrly rate 2]]),"",Table1[[#This Row],[Hrly Staff only Bank Hol hrly rate 2]])</f>
        <v/>
      </c>
      <c r="F33" s="22" t="str">
        <f>IF(ISBLANK(Table1[[#This Row],[Per (Year /Hr)]]),"",Table1[[#This Row],[Per (Year /Hr)]])</f>
        <v/>
      </c>
      <c r="G33" s="22" t="str">
        <f>IF(ISBLANK(Table1[[#This Row],['# FTE staff in role]]),"",Table1[[#This Row],['# FTE staff in role]])</f>
        <v/>
      </c>
      <c r="H33" s="22" t="str">
        <f>IF(ISBLANK(Table1[[#This Row],[Combined hrs per week]]),"",Table1[[#This Row],[Combined hrs per week]])</f>
        <v/>
      </c>
      <c r="I33"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3" s="34" t="str">
        <f>IFERROR(IF(Table13[[#This Row],[Per]]="year","",$J$6*Table13[[#This Row],[Cohort Wage (includes BH for hrly rate staff)]]),"")</f>
        <v/>
      </c>
      <c r="K33" s="35" t="str">
        <f>IFERROR(IF(Table13[[#This Row],[Per]]="year",Table13[[#This Row],[Cohort Wage (includes BH for hrly rate staff)]]*Table13[[#This Row],['# Staff in role]],Table13[[#This Row],[Cohort Wage (includes BH for hrly rate staff)]]+Table13[[#This Row],[Hrly staff AL acrual]]),"")</f>
        <v/>
      </c>
    </row>
    <row r="34" spans="1:11" x14ac:dyDescent="0.35">
      <c r="A34" s="22" t="str">
        <f>IF(ISBLANK(Table1[[#This Row],[Role]]),"",Table1[[#This Row],[Role]])</f>
        <v/>
      </c>
      <c r="B34" s="22" t="str">
        <f>IF(ISBLANK(Table1[[#This Row],[Role type]]),"",Table1[[#This Row],[Role type]])</f>
        <v/>
      </c>
      <c r="C34" s="46" t="str">
        <f>IF(ISBLANK(Table1[[#This Row],[Rate]]),"",Table1[[#This Row],[Rate]])</f>
        <v/>
      </c>
      <c r="D34" s="46" t="str">
        <f>IF(ISBLANK(Table1[[#This Row],[Hrly Staff only Bank Hol hrly rate 1]]),"",Table1[[#This Row],[Hrly Staff only Bank Hol hrly rate 1]])</f>
        <v/>
      </c>
      <c r="E34" s="46" t="str">
        <f>IF(ISBLANK(Table1[[#This Row],[Hrly Staff only Bank Hol hrly rate 2]]),"",Table1[[#This Row],[Hrly Staff only Bank Hol hrly rate 2]])</f>
        <v/>
      </c>
      <c r="F34" s="22" t="str">
        <f>IF(ISBLANK(Table1[[#This Row],[Per (Year /Hr)]]),"",Table1[[#This Row],[Per (Year /Hr)]])</f>
        <v/>
      </c>
      <c r="G34" s="22" t="str">
        <f>IF(ISBLANK(Table1[[#This Row],['# FTE staff in role]]),"",Table1[[#This Row],['# FTE staff in role]])</f>
        <v/>
      </c>
      <c r="H34" s="22" t="str">
        <f>IF(ISBLANK(Table1[[#This Row],[Combined hrs per week]]),"",Table1[[#This Row],[Combined hrs per week]])</f>
        <v/>
      </c>
      <c r="I34"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4" s="34" t="str">
        <f>IFERROR(IF(Table13[[#This Row],[Per]]="year","",$J$6*Table13[[#This Row],[Cohort Wage (includes BH for hrly rate staff)]]),"")</f>
        <v/>
      </c>
      <c r="K34" s="35" t="str">
        <f>IFERROR(IF(Table13[[#This Row],[Per]]="year",Table13[[#This Row],[Cohort Wage (includes BH for hrly rate staff)]]*Table13[[#This Row],['# Staff in role]],Table13[[#This Row],[Cohort Wage (includes BH for hrly rate staff)]]+Table13[[#This Row],[Hrly staff AL acrual]]),"")</f>
        <v/>
      </c>
    </row>
    <row r="35" spans="1:11" x14ac:dyDescent="0.35">
      <c r="A35" s="22" t="str">
        <f>IF(ISBLANK(Table1[[#This Row],[Role]]),"",Table1[[#This Row],[Role]])</f>
        <v/>
      </c>
      <c r="B35" s="22" t="str">
        <f>IF(ISBLANK(Table1[[#This Row],[Role type]]),"",Table1[[#This Row],[Role type]])</f>
        <v/>
      </c>
      <c r="C35" s="46" t="str">
        <f>IF(ISBLANK(Table1[[#This Row],[Rate]]),"",Table1[[#This Row],[Rate]])</f>
        <v/>
      </c>
      <c r="D35" s="46" t="str">
        <f>IF(ISBLANK(Table1[[#This Row],[Hrly Staff only Bank Hol hrly rate 1]]),"",Table1[[#This Row],[Hrly Staff only Bank Hol hrly rate 1]])</f>
        <v/>
      </c>
      <c r="E35" s="46" t="str">
        <f>IF(ISBLANK(Table1[[#This Row],[Hrly Staff only Bank Hol hrly rate 2]]),"",Table1[[#This Row],[Hrly Staff only Bank Hol hrly rate 2]])</f>
        <v/>
      </c>
      <c r="F35" s="22" t="str">
        <f>IF(ISBLANK(Table1[[#This Row],[Per (Year /Hr)]]),"",Table1[[#This Row],[Per (Year /Hr)]])</f>
        <v/>
      </c>
      <c r="G35" s="22" t="str">
        <f>IF(ISBLANK(Table1[[#This Row],['# FTE staff in role]]),"",Table1[[#This Row],['# FTE staff in role]])</f>
        <v/>
      </c>
      <c r="H35" s="22" t="str">
        <f>IF(ISBLANK(Table1[[#This Row],[Combined hrs per week]]),"",Table1[[#This Row],[Combined hrs per week]])</f>
        <v/>
      </c>
      <c r="I35"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5" s="34" t="str">
        <f>IFERROR(IF(Table13[[#This Row],[Per]]="year","",$J$6*Table13[[#This Row],[Cohort Wage (includes BH for hrly rate staff)]]),"")</f>
        <v/>
      </c>
      <c r="K35" s="35" t="str">
        <f>IFERROR(IF(Table13[[#This Row],[Per]]="year",Table13[[#This Row],[Cohort Wage (includes BH for hrly rate staff)]]*Table13[[#This Row],['# Staff in role]],Table13[[#This Row],[Cohort Wage (includes BH for hrly rate staff)]]+Table13[[#This Row],[Hrly staff AL acrual]]),"")</f>
        <v/>
      </c>
    </row>
    <row r="36" spans="1:11" x14ac:dyDescent="0.35">
      <c r="A36" s="22" t="str">
        <f>IF(ISBLANK(Table1[[#This Row],[Role]]),"",Table1[[#This Row],[Role]])</f>
        <v/>
      </c>
      <c r="B36" s="22" t="str">
        <f>IF(ISBLANK(Table1[[#This Row],[Role type]]),"",Table1[[#This Row],[Role type]])</f>
        <v/>
      </c>
      <c r="C36" s="46" t="str">
        <f>IF(ISBLANK(Table1[[#This Row],[Rate]]),"",Table1[[#This Row],[Rate]])</f>
        <v/>
      </c>
      <c r="D36" s="46" t="str">
        <f>IF(ISBLANK(Table1[[#This Row],[Hrly Staff only Bank Hol hrly rate 1]]),"",Table1[[#This Row],[Hrly Staff only Bank Hol hrly rate 1]])</f>
        <v/>
      </c>
      <c r="E36" s="46" t="str">
        <f>IF(ISBLANK(Table1[[#This Row],[Hrly Staff only Bank Hol hrly rate 2]]),"",Table1[[#This Row],[Hrly Staff only Bank Hol hrly rate 2]])</f>
        <v/>
      </c>
      <c r="F36" s="22" t="str">
        <f>IF(ISBLANK(Table1[[#This Row],[Per (Year /Hr)]]),"",Table1[[#This Row],[Per (Year /Hr)]])</f>
        <v/>
      </c>
      <c r="G36" s="22" t="str">
        <f>IF(ISBLANK(Table1[[#This Row],['# FTE staff in role]]),"",Table1[[#This Row],['# FTE staff in role]])</f>
        <v/>
      </c>
      <c r="H36" s="22" t="str">
        <f>IF(ISBLANK(Table1[[#This Row],[Combined hrs per week]]),"",Table1[[#This Row],[Combined hrs per week]])</f>
        <v/>
      </c>
      <c r="I36"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6" s="34" t="str">
        <f>IFERROR(IF(Table13[[#This Row],[Per]]="year","",$J$6*Table13[[#This Row],[Cohort Wage (includes BH for hrly rate staff)]]),"")</f>
        <v/>
      </c>
      <c r="K36" s="35" t="str">
        <f>IFERROR(IF(Table13[[#This Row],[Per]]="year",Table13[[#This Row],[Cohort Wage (includes BH for hrly rate staff)]]*Table13[[#This Row],['# Staff in role]],Table13[[#This Row],[Cohort Wage (includes BH for hrly rate staff)]]+Table13[[#This Row],[Hrly staff AL acrual]]),"")</f>
        <v/>
      </c>
    </row>
    <row r="37" spans="1:11" x14ac:dyDescent="0.35">
      <c r="A37" s="22" t="str">
        <f>IF(ISBLANK(Table1[[#This Row],[Role]]),"",Table1[[#This Row],[Role]])</f>
        <v/>
      </c>
      <c r="B37" s="22" t="str">
        <f>IF(ISBLANK(Table1[[#This Row],[Role type]]),"",Table1[[#This Row],[Role type]])</f>
        <v/>
      </c>
      <c r="C37" s="46" t="str">
        <f>IF(ISBLANK(Table1[[#This Row],[Rate]]),"",Table1[[#This Row],[Rate]])</f>
        <v/>
      </c>
      <c r="D37" s="46" t="str">
        <f>IF(ISBLANK(Table1[[#This Row],[Hrly Staff only Bank Hol hrly rate 1]]),"",Table1[[#This Row],[Hrly Staff only Bank Hol hrly rate 1]])</f>
        <v/>
      </c>
      <c r="E37" s="46" t="str">
        <f>IF(ISBLANK(Table1[[#This Row],[Hrly Staff only Bank Hol hrly rate 2]]),"",Table1[[#This Row],[Hrly Staff only Bank Hol hrly rate 2]])</f>
        <v/>
      </c>
      <c r="F37" s="22" t="str">
        <f>IF(ISBLANK(Table1[[#This Row],[Per (Year /Hr)]]),"",Table1[[#This Row],[Per (Year /Hr)]])</f>
        <v/>
      </c>
      <c r="G37" s="22" t="str">
        <f>IF(ISBLANK(Table1[[#This Row],['# FTE staff in role]]),"",Table1[[#This Row],['# FTE staff in role]])</f>
        <v/>
      </c>
      <c r="H37" s="22" t="str">
        <f>IF(ISBLANK(Table1[[#This Row],[Combined hrs per week]]),"",Table1[[#This Row],[Combined hrs per week]])</f>
        <v/>
      </c>
      <c r="I37"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7" s="34" t="str">
        <f>IFERROR(IF(Table13[[#This Row],[Per]]="year","",$J$6*Table13[[#This Row],[Cohort Wage (includes BH for hrly rate staff)]]),"")</f>
        <v/>
      </c>
      <c r="K37" s="35" t="str">
        <f>IFERROR(IF(Table13[[#This Row],[Per]]="year",Table13[[#This Row],[Cohort Wage (includes BH for hrly rate staff)]]*Table13[[#This Row],['# Staff in role]],Table13[[#This Row],[Cohort Wage (includes BH for hrly rate staff)]]+Table13[[#This Row],[Hrly staff AL acrual]]),"")</f>
        <v/>
      </c>
    </row>
    <row r="38" spans="1:11" x14ac:dyDescent="0.35">
      <c r="A38" s="22" t="str">
        <f>IF(ISBLANK(Table1[[#This Row],[Role]]),"",Table1[[#This Row],[Role]])</f>
        <v/>
      </c>
      <c r="B38" s="22" t="str">
        <f>IF(ISBLANK(Table1[[#This Row],[Role type]]),"",Table1[[#This Row],[Role type]])</f>
        <v/>
      </c>
      <c r="C38" s="46" t="str">
        <f>IF(ISBLANK(Table1[[#This Row],[Rate]]),"",Table1[[#This Row],[Rate]])</f>
        <v/>
      </c>
      <c r="D38" s="46" t="str">
        <f>IF(ISBLANK(Table1[[#This Row],[Hrly Staff only Bank Hol hrly rate 1]]),"",Table1[[#This Row],[Hrly Staff only Bank Hol hrly rate 1]])</f>
        <v/>
      </c>
      <c r="E38" s="46" t="str">
        <f>IF(ISBLANK(Table1[[#This Row],[Hrly Staff only Bank Hol hrly rate 2]]),"",Table1[[#This Row],[Hrly Staff only Bank Hol hrly rate 2]])</f>
        <v/>
      </c>
      <c r="F38" s="22" t="str">
        <f>IF(ISBLANK(Table1[[#This Row],[Per (Year /Hr)]]),"",Table1[[#This Row],[Per (Year /Hr)]])</f>
        <v/>
      </c>
      <c r="G38" s="22" t="str">
        <f>IF(ISBLANK(Table1[[#This Row],['# FTE staff in role]]),"",Table1[[#This Row],['# FTE staff in role]])</f>
        <v/>
      </c>
      <c r="H38" s="22" t="str">
        <f>IF(ISBLANK(Table1[[#This Row],[Combined hrs per week]]),"",Table1[[#This Row],[Combined hrs per week]])</f>
        <v/>
      </c>
      <c r="I38"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8" s="34" t="str">
        <f>IFERROR(IF(Table13[[#This Row],[Per]]="year","",$J$6*Table13[[#This Row],[Cohort Wage (includes BH for hrly rate staff)]]),"")</f>
        <v/>
      </c>
      <c r="K38" s="35" t="str">
        <f>IFERROR(IF(Table13[[#This Row],[Per]]="year",Table13[[#This Row],[Cohort Wage (includes BH for hrly rate staff)]]*Table13[[#This Row],['# Staff in role]],Table13[[#This Row],[Cohort Wage (includes BH for hrly rate staff)]]+Table13[[#This Row],[Hrly staff AL acrual]]),"")</f>
        <v/>
      </c>
    </row>
    <row r="39" spans="1:11" x14ac:dyDescent="0.35">
      <c r="A39" s="22" t="str">
        <f>IF(ISBLANK(Table1[[#This Row],[Role]]),"",Table1[[#This Row],[Role]])</f>
        <v/>
      </c>
      <c r="B39" s="22" t="str">
        <f>IF(ISBLANK(Table1[[#This Row],[Role type]]),"",Table1[[#This Row],[Role type]])</f>
        <v/>
      </c>
      <c r="C39" s="46" t="str">
        <f>IF(ISBLANK(Table1[[#This Row],[Rate]]),"",Table1[[#This Row],[Rate]])</f>
        <v/>
      </c>
      <c r="D39" s="46" t="str">
        <f>IF(ISBLANK(Table1[[#This Row],[Hrly Staff only Bank Hol hrly rate 1]]),"",Table1[[#This Row],[Hrly Staff only Bank Hol hrly rate 1]])</f>
        <v/>
      </c>
      <c r="E39" s="46" t="str">
        <f>IF(ISBLANK(Table1[[#This Row],[Hrly Staff only Bank Hol hrly rate 2]]),"",Table1[[#This Row],[Hrly Staff only Bank Hol hrly rate 2]])</f>
        <v/>
      </c>
      <c r="F39" s="22" t="str">
        <f>IF(ISBLANK(Table1[[#This Row],[Per (Year /Hr)]]),"",Table1[[#This Row],[Per (Year /Hr)]])</f>
        <v/>
      </c>
      <c r="G39" s="22" t="str">
        <f>IF(ISBLANK(Table1[[#This Row],['# FTE staff in role]]),"",Table1[[#This Row],['# FTE staff in role]])</f>
        <v/>
      </c>
      <c r="H39" s="22" t="str">
        <f>IF(ISBLANK(Table1[[#This Row],[Combined hrs per week]]),"",Table1[[#This Row],[Combined hrs per week]])</f>
        <v/>
      </c>
      <c r="I39"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39" s="34" t="str">
        <f>IFERROR(IF(Table13[[#This Row],[Per]]="year","",$J$6*Table13[[#This Row],[Cohort Wage (includes BH for hrly rate staff)]]),"")</f>
        <v/>
      </c>
      <c r="K39" s="35" t="str">
        <f>IFERROR(IF(Table13[[#This Row],[Per]]="year",Table13[[#This Row],[Cohort Wage (includes BH for hrly rate staff)]]*Table13[[#This Row],['# Staff in role]],Table13[[#This Row],[Cohort Wage (includes BH for hrly rate staff)]]+Table13[[#This Row],[Hrly staff AL acrual]]),"")</f>
        <v/>
      </c>
    </row>
    <row r="40" spans="1:11" x14ac:dyDescent="0.35">
      <c r="A40" s="22" t="str">
        <f>IF(ISBLANK(Table1[[#This Row],[Role]]),"",Table1[[#This Row],[Role]])</f>
        <v/>
      </c>
      <c r="B40" s="22" t="str">
        <f>IF(ISBLANK(Table1[[#This Row],[Role type]]),"",Table1[[#This Row],[Role type]])</f>
        <v/>
      </c>
      <c r="C40" s="46" t="str">
        <f>IF(ISBLANK(Table1[[#This Row],[Rate]]),"",Table1[[#This Row],[Rate]])</f>
        <v/>
      </c>
      <c r="D40" s="46" t="str">
        <f>IF(ISBLANK(Table1[[#This Row],[Hrly Staff only Bank Hol hrly rate 1]]),"",Table1[[#This Row],[Hrly Staff only Bank Hol hrly rate 1]])</f>
        <v/>
      </c>
      <c r="E40" s="46" t="str">
        <f>IF(ISBLANK(Table1[[#This Row],[Hrly Staff only Bank Hol hrly rate 2]]),"",Table1[[#This Row],[Hrly Staff only Bank Hol hrly rate 2]])</f>
        <v/>
      </c>
      <c r="F40" s="22" t="str">
        <f>IF(ISBLANK(Table1[[#This Row],[Per (Year /Hr)]]),"",Table1[[#This Row],[Per (Year /Hr)]])</f>
        <v/>
      </c>
      <c r="G40" s="22" t="str">
        <f>IF(ISBLANK(Table1[[#This Row],['# FTE staff in role]]),"",Table1[[#This Row],['# FTE staff in role]])</f>
        <v/>
      </c>
      <c r="H40" s="22" t="str">
        <f>IF(ISBLANK(Table1[[#This Row],[Combined hrs per week]]),"",Table1[[#This Row],[Combined hrs per week]])</f>
        <v/>
      </c>
      <c r="I40"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0" s="34" t="str">
        <f>IFERROR(IF(Table13[[#This Row],[Per]]="year","",$J$6*Table13[[#This Row],[Cohort Wage (includes BH for hrly rate staff)]]),"")</f>
        <v/>
      </c>
      <c r="K40" s="35" t="str">
        <f>IFERROR(IF(Table13[[#This Row],[Per]]="year",Table13[[#This Row],[Cohort Wage (includes BH for hrly rate staff)]]*Table13[[#This Row],['# Staff in role]],Table13[[#This Row],[Cohort Wage (includes BH for hrly rate staff)]]+Table13[[#This Row],[Hrly staff AL acrual]]),"")</f>
        <v/>
      </c>
    </row>
    <row r="41" spans="1:11" x14ac:dyDescent="0.35">
      <c r="A41" s="22" t="str">
        <f>IF(ISBLANK(Table1[[#This Row],[Role]]),"",Table1[[#This Row],[Role]])</f>
        <v/>
      </c>
      <c r="B41" s="22" t="str">
        <f>IF(ISBLANK(Table1[[#This Row],[Role type]]),"",Table1[[#This Row],[Role type]])</f>
        <v/>
      </c>
      <c r="C41" s="46" t="str">
        <f>IF(ISBLANK(Table1[[#This Row],[Rate]]),"",Table1[[#This Row],[Rate]])</f>
        <v/>
      </c>
      <c r="D41" s="46" t="str">
        <f>IF(ISBLANK(Table1[[#This Row],[Hrly Staff only Bank Hol hrly rate 1]]),"",Table1[[#This Row],[Hrly Staff only Bank Hol hrly rate 1]])</f>
        <v/>
      </c>
      <c r="E41" s="46" t="str">
        <f>IF(ISBLANK(Table1[[#This Row],[Hrly Staff only Bank Hol hrly rate 2]]),"",Table1[[#This Row],[Hrly Staff only Bank Hol hrly rate 2]])</f>
        <v/>
      </c>
      <c r="F41" s="22" t="str">
        <f>IF(ISBLANK(Table1[[#This Row],[Per (Year /Hr)]]),"",Table1[[#This Row],[Per (Year /Hr)]])</f>
        <v/>
      </c>
      <c r="G41" s="22" t="str">
        <f>IF(ISBLANK(Table1[[#This Row],['# FTE staff in role]]),"",Table1[[#This Row],['# FTE staff in role]])</f>
        <v/>
      </c>
      <c r="H41" s="22" t="str">
        <f>IF(ISBLANK(Table1[[#This Row],[Combined hrs per week]]),"",Table1[[#This Row],[Combined hrs per week]])</f>
        <v/>
      </c>
      <c r="I41"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1" s="34" t="str">
        <f>IFERROR(IF(Table13[[#This Row],[Per]]="year","",$J$6*Table13[[#This Row],[Cohort Wage (includes BH for hrly rate staff)]]),"")</f>
        <v/>
      </c>
      <c r="K41" s="35" t="str">
        <f>IFERROR(IF(Table13[[#This Row],[Per]]="year",Table13[[#This Row],[Cohort Wage (includes BH for hrly rate staff)]]*Table13[[#This Row],['# Staff in role]],Table13[[#This Row],[Cohort Wage (includes BH for hrly rate staff)]]+Table13[[#This Row],[Hrly staff AL acrual]]),"")</f>
        <v/>
      </c>
    </row>
    <row r="42" spans="1:11" x14ac:dyDescent="0.35">
      <c r="A42" s="22" t="str">
        <f>IF(ISBLANK(Table1[[#This Row],[Role]]),"",Table1[[#This Row],[Role]])</f>
        <v/>
      </c>
      <c r="B42" s="22" t="str">
        <f>IF(ISBLANK(Table1[[#This Row],[Role type]]),"",Table1[[#This Row],[Role type]])</f>
        <v/>
      </c>
      <c r="C42" s="46" t="str">
        <f>IF(ISBLANK(Table1[[#This Row],[Rate]]),"",Table1[[#This Row],[Rate]])</f>
        <v/>
      </c>
      <c r="D42" s="46" t="str">
        <f>IF(ISBLANK(Table1[[#This Row],[Hrly Staff only Bank Hol hrly rate 1]]),"",Table1[[#This Row],[Hrly Staff only Bank Hol hrly rate 1]])</f>
        <v/>
      </c>
      <c r="E42" s="46" t="str">
        <f>IF(ISBLANK(Table1[[#This Row],[Hrly Staff only Bank Hol hrly rate 2]]),"",Table1[[#This Row],[Hrly Staff only Bank Hol hrly rate 2]])</f>
        <v/>
      </c>
      <c r="F42" s="22" t="str">
        <f>IF(ISBLANK(Table1[[#This Row],[Per (Year /Hr)]]),"",Table1[[#This Row],[Per (Year /Hr)]])</f>
        <v/>
      </c>
      <c r="G42" s="22" t="str">
        <f>IF(ISBLANK(Table1[[#This Row],['# FTE staff in role]]),"",Table1[[#This Row],['# FTE staff in role]])</f>
        <v/>
      </c>
      <c r="H42" s="22" t="str">
        <f>IF(ISBLANK(Table1[[#This Row],[Combined hrs per week]]),"",Table1[[#This Row],[Combined hrs per week]])</f>
        <v/>
      </c>
      <c r="I42"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2" s="34" t="str">
        <f>IFERROR(IF(Table13[[#This Row],[Per]]="year","",$J$6*Table13[[#This Row],[Cohort Wage (includes BH for hrly rate staff)]]),"")</f>
        <v/>
      </c>
      <c r="K42" s="35" t="str">
        <f>IFERROR(IF(Table13[[#This Row],[Per]]="year",Table13[[#This Row],[Cohort Wage (includes BH for hrly rate staff)]]*Table13[[#This Row],['# Staff in role]],Table13[[#This Row],[Cohort Wage (includes BH for hrly rate staff)]]+Table13[[#This Row],[Hrly staff AL acrual]]),"")</f>
        <v/>
      </c>
    </row>
    <row r="43" spans="1:11" x14ac:dyDescent="0.35">
      <c r="A43" s="22" t="str">
        <f>IF(ISBLANK(Table1[[#This Row],[Role]]),"",Table1[[#This Row],[Role]])</f>
        <v/>
      </c>
      <c r="B43" s="22" t="str">
        <f>IF(ISBLANK(Table1[[#This Row],[Role type]]),"",Table1[[#This Row],[Role type]])</f>
        <v/>
      </c>
      <c r="C43" s="46" t="str">
        <f>IF(ISBLANK(Table1[[#This Row],[Rate]]),"",Table1[[#This Row],[Rate]])</f>
        <v/>
      </c>
      <c r="D43" s="46" t="str">
        <f>IF(ISBLANK(Table1[[#This Row],[Hrly Staff only Bank Hol hrly rate 1]]),"",Table1[[#This Row],[Hrly Staff only Bank Hol hrly rate 1]])</f>
        <v/>
      </c>
      <c r="E43" s="46" t="str">
        <f>IF(ISBLANK(Table1[[#This Row],[Hrly Staff only Bank Hol hrly rate 2]]),"",Table1[[#This Row],[Hrly Staff only Bank Hol hrly rate 2]])</f>
        <v/>
      </c>
      <c r="F43" s="22" t="str">
        <f>IF(ISBLANK(Table1[[#This Row],[Per (Year /Hr)]]),"",Table1[[#This Row],[Per (Year /Hr)]])</f>
        <v/>
      </c>
      <c r="G43" s="22" t="str">
        <f>IF(ISBLANK(Table1[[#This Row],['# FTE staff in role]]),"",Table1[[#This Row],['# FTE staff in role]])</f>
        <v/>
      </c>
      <c r="H43" s="22" t="str">
        <f>IF(ISBLANK(Table1[[#This Row],[Combined hrs per week]]),"",Table1[[#This Row],[Combined hrs per week]])</f>
        <v/>
      </c>
      <c r="I43"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3" s="34" t="str">
        <f>IFERROR(IF(Table13[[#This Row],[Per]]="year","",$J$6*Table13[[#This Row],[Cohort Wage (includes BH for hrly rate staff)]]),"")</f>
        <v/>
      </c>
      <c r="K43" s="35" t="str">
        <f>IFERROR(IF(Table13[[#This Row],[Per]]="year",Table13[[#This Row],[Cohort Wage (includes BH for hrly rate staff)]]*Table13[[#This Row],['# Staff in role]],Table13[[#This Row],[Cohort Wage (includes BH for hrly rate staff)]]+Table13[[#This Row],[Hrly staff AL acrual]]),"")</f>
        <v/>
      </c>
    </row>
    <row r="44" spans="1:11" x14ac:dyDescent="0.35">
      <c r="A44" s="22" t="str">
        <f>IF(ISBLANK(Table1[[#This Row],[Role]]),"",Table1[[#This Row],[Role]])</f>
        <v/>
      </c>
      <c r="B44" s="22" t="str">
        <f>IF(ISBLANK(Table1[[#This Row],[Role type]]),"",Table1[[#This Row],[Role type]])</f>
        <v/>
      </c>
      <c r="C44" s="46" t="str">
        <f>IF(ISBLANK(Table1[[#This Row],[Rate]]),"",Table1[[#This Row],[Rate]])</f>
        <v/>
      </c>
      <c r="D44" s="46" t="str">
        <f>IF(ISBLANK(Table1[[#This Row],[Hrly Staff only Bank Hol hrly rate 1]]),"",Table1[[#This Row],[Hrly Staff only Bank Hol hrly rate 1]])</f>
        <v/>
      </c>
      <c r="E44" s="46" t="str">
        <f>IF(ISBLANK(Table1[[#This Row],[Hrly Staff only Bank Hol hrly rate 2]]),"",Table1[[#This Row],[Hrly Staff only Bank Hol hrly rate 2]])</f>
        <v/>
      </c>
      <c r="F44" s="22" t="str">
        <f>IF(ISBLANK(Table1[[#This Row],[Per (Year /Hr)]]),"",Table1[[#This Row],[Per (Year /Hr)]])</f>
        <v/>
      </c>
      <c r="G44" s="22" t="str">
        <f>IF(ISBLANK(Table1[[#This Row],['# FTE staff in role]]),"",Table1[[#This Row],['# FTE staff in role]])</f>
        <v/>
      </c>
      <c r="H44" s="22" t="str">
        <f>IF(ISBLANK(Table1[[#This Row],[Combined hrs per week]]),"",Table1[[#This Row],[Combined hrs per week]])</f>
        <v/>
      </c>
      <c r="I44"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4" s="34" t="str">
        <f>IFERROR(IF(Table13[[#This Row],[Per]]="year","",$J$6*Table13[[#This Row],[Cohort Wage (includes BH for hrly rate staff)]]),"")</f>
        <v/>
      </c>
      <c r="K44" s="35" t="str">
        <f>IFERROR(IF(Table13[[#This Row],[Per]]="year",Table13[[#This Row],[Cohort Wage (includes BH for hrly rate staff)]]*Table13[[#This Row],['# Staff in role]],Table13[[#This Row],[Cohort Wage (includes BH for hrly rate staff)]]+Table13[[#This Row],[Hrly staff AL acrual]]),"")</f>
        <v/>
      </c>
    </row>
    <row r="45" spans="1:11" x14ac:dyDescent="0.35">
      <c r="A45" s="22" t="str">
        <f>IF(ISBLANK(Table1[[#This Row],[Role]]),"",Table1[[#This Row],[Role]])</f>
        <v/>
      </c>
      <c r="B45" s="22" t="str">
        <f>IF(ISBLANK(Table1[[#This Row],[Role type]]),"",Table1[[#This Row],[Role type]])</f>
        <v/>
      </c>
      <c r="C45" s="46" t="str">
        <f>IF(ISBLANK(Table1[[#This Row],[Rate]]),"",Table1[[#This Row],[Rate]])</f>
        <v/>
      </c>
      <c r="D45" s="46" t="str">
        <f>IF(ISBLANK(Table1[[#This Row],[Hrly Staff only Bank Hol hrly rate 1]]),"",Table1[[#This Row],[Hrly Staff only Bank Hol hrly rate 1]])</f>
        <v/>
      </c>
      <c r="E45" s="46" t="str">
        <f>IF(ISBLANK(Table1[[#This Row],[Hrly Staff only Bank Hol hrly rate 2]]),"",Table1[[#This Row],[Hrly Staff only Bank Hol hrly rate 2]])</f>
        <v/>
      </c>
      <c r="F45" s="22" t="str">
        <f>IF(ISBLANK(Table1[[#This Row],[Per (Year /Hr)]]),"",Table1[[#This Row],[Per (Year /Hr)]])</f>
        <v/>
      </c>
      <c r="G45" s="22" t="str">
        <f>IF(ISBLANK(Table1[[#This Row],['# FTE staff in role]]),"",Table1[[#This Row],['# FTE staff in role]])</f>
        <v/>
      </c>
      <c r="H45" s="22" t="str">
        <f>IF(ISBLANK(Table1[[#This Row],[Combined hrs per week]]),"",Table1[[#This Row],[Combined hrs per week]])</f>
        <v/>
      </c>
      <c r="I45"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5" s="34" t="str">
        <f>IFERROR(IF(Table13[[#This Row],[Per]]="year","",$J$6*Table13[[#This Row],[Cohort Wage (includes BH for hrly rate staff)]]),"")</f>
        <v/>
      </c>
      <c r="K45" s="35" t="str">
        <f>IFERROR(IF(Table13[[#This Row],[Per]]="year",Table13[[#This Row],[Cohort Wage (includes BH for hrly rate staff)]]*Table13[[#This Row],['# Staff in role]],Table13[[#This Row],[Cohort Wage (includes BH for hrly rate staff)]]+Table13[[#This Row],[Hrly staff AL acrual]]),"")</f>
        <v/>
      </c>
    </row>
    <row r="46" spans="1:11" x14ac:dyDescent="0.35">
      <c r="A46" s="22" t="str">
        <f>IF(ISBLANK(Table1[[#This Row],[Role]]),"",Table1[[#This Row],[Role]])</f>
        <v/>
      </c>
      <c r="B46" s="22" t="str">
        <f>IF(ISBLANK(Table1[[#This Row],[Role type]]),"",Table1[[#This Row],[Role type]])</f>
        <v/>
      </c>
      <c r="C46" s="46" t="str">
        <f>IF(ISBLANK(Table1[[#This Row],[Rate]]),"",Table1[[#This Row],[Rate]])</f>
        <v/>
      </c>
      <c r="D46" s="46" t="str">
        <f>IF(ISBLANK(Table1[[#This Row],[Hrly Staff only Bank Hol hrly rate 1]]),"",Table1[[#This Row],[Hrly Staff only Bank Hol hrly rate 1]])</f>
        <v/>
      </c>
      <c r="E46" s="46" t="str">
        <f>IF(ISBLANK(Table1[[#This Row],[Hrly Staff only Bank Hol hrly rate 2]]),"",Table1[[#This Row],[Hrly Staff only Bank Hol hrly rate 2]])</f>
        <v/>
      </c>
      <c r="F46" s="22" t="str">
        <f>IF(ISBLANK(Table1[[#This Row],[Per (Year /Hr)]]),"",Table1[[#This Row],[Per (Year /Hr)]])</f>
        <v/>
      </c>
      <c r="G46" s="22" t="str">
        <f>IF(ISBLANK(Table1[[#This Row],['# FTE staff in role]]),"",Table1[[#This Row],['# FTE staff in role]])</f>
        <v/>
      </c>
      <c r="H46" s="22" t="str">
        <f>IF(ISBLANK(Table1[[#This Row],[Combined hrs per week]]),"",Table1[[#This Row],[Combined hrs per week]])</f>
        <v/>
      </c>
      <c r="I46"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6" s="34" t="str">
        <f>IFERROR(IF(Table13[[#This Row],[Per]]="year","",$J$6*Table13[[#This Row],[Cohort Wage (includes BH for hrly rate staff)]]),"")</f>
        <v/>
      </c>
      <c r="K46" s="35" t="str">
        <f>IFERROR(IF(Table13[[#This Row],[Per]]="year",Table13[[#This Row],[Cohort Wage (includes BH for hrly rate staff)]]*Table13[[#This Row],['# Staff in role]],Table13[[#This Row],[Cohort Wage (includes BH for hrly rate staff)]]+Table13[[#This Row],[Hrly staff AL acrual]]),"")</f>
        <v/>
      </c>
    </row>
    <row r="47" spans="1:11" x14ac:dyDescent="0.35">
      <c r="A47" s="22" t="str">
        <f>IF(ISBLANK(Table1[[#This Row],[Role]]),"",Table1[[#This Row],[Role]])</f>
        <v/>
      </c>
      <c r="B47" s="22" t="str">
        <f>IF(ISBLANK(Table1[[#This Row],[Role type]]),"",Table1[[#This Row],[Role type]])</f>
        <v/>
      </c>
      <c r="C47" s="46" t="str">
        <f>IF(ISBLANK(Table1[[#This Row],[Rate]]),"",Table1[[#This Row],[Rate]])</f>
        <v/>
      </c>
      <c r="D47" s="46" t="str">
        <f>IF(ISBLANK(Table1[[#This Row],[Hrly Staff only Bank Hol hrly rate 1]]),"",Table1[[#This Row],[Hrly Staff only Bank Hol hrly rate 1]])</f>
        <v/>
      </c>
      <c r="E47" s="46" t="str">
        <f>IF(ISBLANK(Table1[[#This Row],[Hrly Staff only Bank Hol hrly rate 2]]),"",Table1[[#This Row],[Hrly Staff only Bank Hol hrly rate 2]])</f>
        <v/>
      </c>
      <c r="F47" s="22" t="str">
        <f>IF(ISBLANK(Table1[[#This Row],[Per (Year /Hr)]]),"",Table1[[#This Row],[Per (Year /Hr)]])</f>
        <v/>
      </c>
      <c r="G47" s="22" t="str">
        <f>IF(ISBLANK(Table1[[#This Row],['# FTE staff in role]]),"",Table1[[#This Row],['# FTE staff in role]])</f>
        <v/>
      </c>
      <c r="H47" s="22" t="str">
        <f>IF(ISBLANK(Table1[[#This Row],[Combined hrs per week]]),"",Table1[[#This Row],[Combined hrs per week]])</f>
        <v/>
      </c>
      <c r="I47"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7" s="34" t="str">
        <f>IFERROR(IF(Table13[[#This Row],[Per]]="year","",$J$6*Table13[[#This Row],[Cohort Wage (includes BH for hrly rate staff)]]),"")</f>
        <v/>
      </c>
      <c r="K47" s="35" t="str">
        <f>IFERROR(IF(Table13[[#This Row],[Per]]="year",Table13[[#This Row],[Cohort Wage (includes BH for hrly rate staff)]]*Table13[[#This Row],['# Staff in role]],Table13[[#This Row],[Cohort Wage (includes BH for hrly rate staff)]]+Table13[[#This Row],[Hrly staff AL acrual]]),"")</f>
        <v/>
      </c>
    </row>
    <row r="48" spans="1:11" x14ac:dyDescent="0.35">
      <c r="A48" s="22" t="str">
        <f>IF(ISBLANK(Table1[[#This Row],[Role]]),"",Table1[[#This Row],[Role]])</f>
        <v/>
      </c>
      <c r="B48" s="22" t="str">
        <f>IF(ISBLANK(Table1[[#This Row],[Role type]]),"",Table1[[#This Row],[Role type]])</f>
        <v/>
      </c>
      <c r="C48" s="46" t="str">
        <f>IF(ISBLANK(Table1[[#This Row],[Rate]]),"",Table1[[#This Row],[Rate]])</f>
        <v/>
      </c>
      <c r="D48" s="46" t="str">
        <f>IF(ISBLANK(Table1[[#This Row],[Hrly Staff only Bank Hol hrly rate 1]]),"",Table1[[#This Row],[Hrly Staff only Bank Hol hrly rate 1]])</f>
        <v/>
      </c>
      <c r="E48" s="46" t="str">
        <f>IF(ISBLANK(Table1[[#This Row],[Hrly Staff only Bank Hol hrly rate 2]]),"",Table1[[#This Row],[Hrly Staff only Bank Hol hrly rate 2]])</f>
        <v/>
      </c>
      <c r="F48" s="22" t="str">
        <f>IF(ISBLANK(Table1[[#This Row],[Per (Year /Hr)]]),"",Table1[[#This Row],[Per (Year /Hr)]])</f>
        <v/>
      </c>
      <c r="G48" s="22" t="str">
        <f>IF(ISBLANK(Table1[[#This Row],['# FTE staff in role]]),"",Table1[[#This Row],['# FTE staff in role]])</f>
        <v/>
      </c>
      <c r="H48" s="22" t="str">
        <f>IF(ISBLANK(Table1[[#This Row],[Combined hrs per week]]),"",Table1[[#This Row],[Combined hrs per week]])</f>
        <v/>
      </c>
      <c r="I48"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8" s="34" t="str">
        <f>IFERROR(IF(Table13[[#This Row],[Per]]="year","",$J$6*Table13[[#This Row],[Cohort Wage (includes BH for hrly rate staff)]]),"")</f>
        <v/>
      </c>
      <c r="K48" s="35" t="str">
        <f>IFERROR(IF(Table13[[#This Row],[Per]]="year",Table13[[#This Row],[Cohort Wage (includes BH for hrly rate staff)]]*Table13[[#This Row],['# Staff in role]],Table13[[#This Row],[Cohort Wage (includes BH for hrly rate staff)]]+Table13[[#This Row],[Hrly staff AL acrual]]),"")</f>
        <v/>
      </c>
    </row>
    <row r="49" spans="1:11" x14ac:dyDescent="0.35">
      <c r="A49" s="22" t="str">
        <f>IF(ISBLANK(Table1[[#This Row],[Role]]),"",Table1[[#This Row],[Role]])</f>
        <v/>
      </c>
      <c r="B49" s="22" t="str">
        <f>IF(ISBLANK(Table1[[#This Row],[Role type]]),"",Table1[[#This Row],[Role type]])</f>
        <v/>
      </c>
      <c r="C49" s="46" t="str">
        <f>IF(ISBLANK(Table1[[#This Row],[Rate]]),"",Table1[[#This Row],[Rate]])</f>
        <v/>
      </c>
      <c r="D49" s="46" t="str">
        <f>IF(ISBLANK(Table1[[#This Row],[Hrly Staff only Bank Hol hrly rate 1]]),"",Table1[[#This Row],[Hrly Staff only Bank Hol hrly rate 1]])</f>
        <v/>
      </c>
      <c r="E49" s="46" t="str">
        <f>IF(ISBLANK(Table1[[#This Row],[Hrly Staff only Bank Hol hrly rate 2]]),"",Table1[[#This Row],[Hrly Staff only Bank Hol hrly rate 2]])</f>
        <v/>
      </c>
      <c r="F49" s="22" t="str">
        <f>IF(ISBLANK(Table1[[#This Row],[Per (Year /Hr)]]),"",Table1[[#This Row],[Per (Year /Hr)]])</f>
        <v/>
      </c>
      <c r="G49" s="22" t="str">
        <f>IF(ISBLANK(Table1[[#This Row],['# FTE staff in role]]),"",Table1[[#This Row],['# FTE staff in role]])</f>
        <v/>
      </c>
      <c r="H49" s="22" t="str">
        <f>IF(ISBLANK(Table1[[#This Row],[Combined hrs per week]]),"",Table1[[#This Row],[Combined hrs per week]])</f>
        <v/>
      </c>
      <c r="I49"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49" s="34" t="str">
        <f>IFERROR(IF(Table13[[#This Row],[Per]]="year","",$J$6*Table13[[#This Row],[Cohort Wage (includes BH for hrly rate staff)]]),"")</f>
        <v/>
      </c>
      <c r="K49" s="35" t="str">
        <f>IFERROR(IF(Table13[[#This Row],[Per]]="year",Table13[[#This Row],[Cohort Wage (includes BH for hrly rate staff)]]*Table13[[#This Row],['# Staff in role]],Table13[[#This Row],[Cohort Wage (includes BH for hrly rate staff)]]+Table13[[#This Row],[Hrly staff AL acrual]]),"")</f>
        <v/>
      </c>
    </row>
    <row r="50" spans="1:11" x14ac:dyDescent="0.35">
      <c r="A50" s="22" t="str">
        <f>IF(ISBLANK(Table1[[#This Row],[Role]]),"",Table1[[#This Row],[Role]])</f>
        <v/>
      </c>
      <c r="B50" s="22" t="str">
        <f>IF(ISBLANK(Table1[[#This Row],[Role type]]),"",Table1[[#This Row],[Role type]])</f>
        <v/>
      </c>
      <c r="C50" s="46" t="str">
        <f>IF(ISBLANK(Table1[[#This Row],[Rate]]),"",Table1[[#This Row],[Rate]])</f>
        <v/>
      </c>
      <c r="D50" s="46" t="str">
        <f>IF(ISBLANK(Table1[[#This Row],[Hrly Staff only Bank Hol hrly rate 1]]),"",Table1[[#This Row],[Hrly Staff only Bank Hol hrly rate 1]])</f>
        <v/>
      </c>
      <c r="E50" s="46" t="str">
        <f>IF(ISBLANK(Table1[[#This Row],[Hrly Staff only Bank Hol hrly rate 2]]),"",Table1[[#This Row],[Hrly Staff only Bank Hol hrly rate 2]])</f>
        <v/>
      </c>
      <c r="F50" s="22" t="str">
        <f>IF(ISBLANK(Table1[[#This Row],[Per (Year /Hr)]]),"",Table1[[#This Row],[Per (Year /Hr)]])</f>
        <v/>
      </c>
      <c r="G50" s="22" t="str">
        <f>IF(ISBLANK(Table1[[#This Row],['# FTE staff in role]]),"",Table1[[#This Row],['# FTE staff in role]])</f>
        <v/>
      </c>
      <c r="H50" s="22" t="str">
        <f>IF(ISBLANK(Table1[[#This Row],[Combined hrs per week]]),"",Table1[[#This Row],[Combined hrs per week]])</f>
        <v/>
      </c>
      <c r="I50"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0" s="34" t="str">
        <f>IFERROR(IF(Table13[[#This Row],[Per]]="year","",$J$6*Table13[[#This Row],[Cohort Wage (includes BH for hrly rate staff)]]),"")</f>
        <v/>
      </c>
      <c r="K50" s="35" t="str">
        <f>IFERROR(IF(Table13[[#This Row],[Per]]="year",Table13[[#This Row],[Cohort Wage (includes BH for hrly rate staff)]]*Table13[[#This Row],['# Staff in role]],Table13[[#This Row],[Cohort Wage (includes BH for hrly rate staff)]]+Table13[[#This Row],[Hrly staff AL acrual]]),"")</f>
        <v/>
      </c>
    </row>
    <row r="51" spans="1:11" x14ac:dyDescent="0.35">
      <c r="A51" s="22" t="str">
        <f>IF(ISBLANK(Table1[[#This Row],[Role]]),"",Table1[[#This Row],[Role]])</f>
        <v/>
      </c>
      <c r="B51" s="22" t="str">
        <f>IF(ISBLANK(Table1[[#This Row],[Role type]]),"",Table1[[#This Row],[Role type]])</f>
        <v/>
      </c>
      <c r="C51" s="46" t="str">
        <f>IF(ISBLANK(Table1[[#This Row],[Rate]]),"",Table1[[#This Row],[Rate]])</f>
        <v/>
      </c>
      <c r="D51" s="46" t="str">
        <f>IF(ISBLANK(Table1[[#This Row],[Hrly Staff only Bank Hol hrly rate 1]]),"",Table1[[#This Row],[Hrly Staff only Bank Hol hrly rate 1]])</f>
        <v/>
      </c>
      <c r="E51" s="46" t="str">
        <f>IF(ISBLANK(Table1[[#This Row],[Hrly Staff only Bank Hol hrly rate 2]]),"",Table1[[#This Row],[Hrly Staff only Bank Hol hrly rate 2]])</f>
        <v/>
      </c>
      <c r="F51" s="22" t="str">
        <f>IF(ISBLANK(Table1[[#This Row],[Per (Year /Hr)]]),"",Table1[[#This Row],[Per (Year /Hr)]])</f>
        <v/>
      </c>
      <c r="G51" s="22" t="str">
        <f>IF(ISBLANK(Table1[[#This Row],['# FTE staff in role]]),"",Table1[[#This Row],['# FTE staff in role]])</f>
        <v/>
      </c>
      <c r="H51" s="22" t="str">
        <f>IF(ISBLANK(Table1[[#This Row],[Combined hrs per week]]),"",Table1[[#This Row],[Combined hrs per week]])</f>
        <v/>
      </c>
      <c r="I51"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1" s="34" t="str">
        <f>IFERROR(IF(Table13[[#This Row],[Per]]="year","",$J$6*Table13[[#This Row],[Cohort Wage (includes BH for hrly rate staff)]]),"")</f>
        <v/>
      </c>
      <c r="K51" s="35" t="str">
        <f>IFERROR(IF(Table13[[#This Row],[Per]]="year",Table13[[#This Row],[Cohort Wage (includes BH for hrly rate staff)]]*Table13[[#This Row],['# Staff in role]],Table13[[#This Row],[Cohort Wage (includes BH for hrly rate staff)]]+Table13[[#This Row],[Hrly staff AL acrual]]),"")</f>
        <v/>
      </c>
    </row>
    <row r="52" spans="1:11" x14ac:dyDescent="0.35">
      <c r="A52" s="22" t="str">
        <f>IF(ISBLANK(Table1[[#This Row],[Role]]),"",Table1[[#This Row],[Role]])</f>
        <v/>
      </c>
      <c r="B52" s="22" t="str">
        <f>IF(ISBLANK(Table1[[#This Row],[Role type]]),"",Table1[[#This Row],[Role type]])</f>
        <v/>
      </c>
      <c r="C52" s="46" t="str">
        <f>IF(ISBLANK(Table1[[#This Row],[Rate]]),"",Table1[[#This Row],[Rate]])</f>
        <v/>
      </c>
      <c r="D52" s="46" t="str">
        <f>IF(ISBLANK(Table1[[#This Row],[Hrly Staff only Bank Hol hrly rate 1]]),"",Table1[[#This Row],[Hrly Staff only Bank Hol hrly rate 1]])</f>
        <v/>
      </c>
      <c r="E52" s="46" t="str">
        <f>IF(ISBLANK(Table1[[#This Row],[Hrly Staff only Bank Hol hrly rate 2]]),"",Table1[[#This Row],[Hrly Staff only Bank Hol hrly rate 2]])</f>
        <v/>
      </c>
      <c r="F52" s="22" t="str">
        <f>IF(ISBLANK(Table1[[#This Row],[Per (Year /Hr)]]),"",Table1[[#This Row],[Per (Year /Hr)]])</f>
        <v/>
      </c>
      <c r="G52" s="22" t="str">
        <f>IF(ISBLANK(Table1[[#This Row],['# FTE staff in role]]),"",Table1[[#This Row],['# FTE staff in role]])</f>
        <v/>
      </c>
      <c r="H52" s="22" t="str">
        <f>IF(ISBLANK(Table1[[#This Row],[Combined hrs per week]]),"",Table1[[#This Row],[Combined hrs per week]])</f>
        <v/>
      </c>
      <c r="I52"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2" s="34" t="str">
        <f>IFERROR(IF(Table13[[#This Row],[Per]]="year","",$J$6*Table13[[#This Row],[Cohort Wage (includes BH for hrly rate staff)]]),"")</f>
        <v/>
      </c>
      <c r="K52" s="35" t="str">
        <f>IFERROR(IF(Table13[[#This Row],[Per]]="year",Table13[[#This Row],[Cohort Wage (includes BH for hrly rate staff)]]*Table13[[#This Row],['# Staff in role]],Table13[[#This Row],[Cohort Wage (includes BH for hrly rate staff)]]+Table13[[#This Row],[Hrly staff AL acrual]]),"")</f>
        <v/>
      </c>
    </row>
    <row r="53" spans="1:11" x14ac:dyDescent="0.35">
      <c r="A53" s="22" t="str">
        <f>IF(ISBLANK(Table1[[#This Row],[Role]]),"",Table1[[#This Row],[Role]])</f>
        <v/>
      </c>
      <c r="B53" s="22" t="str">
        <f>IF(ISBLANK(Table1[[#This Row],[Role type]]),"",Table1[[#This Row],[Role type]])</f>
        <v/>
      </c>
      <c r="C53" s="46" t="str">
        <f>IF(ISBLANK(Table1[[#This Row],[Rate]]),"",Table1[[#This Row],[Rate]])</f>
        <v/>
      </c>
      <c r="D53" s="46" t="str">
        <f>IF(ISBLANK(Table1[[#This Row],[Hrly Staff only Bank Hol hrly rate 1]]),"",Table1[[#This Row],[Hrly Staff only Bank Hol hrly rate 1]])</f>
        <v/>
      </c>
      <c r="E53" s="46" t="str">
        <f>IF(ISBLANK(Table1[[#This Row],[Hrly Staff only Bank Hol hrly rate 2]]),"",Table1[[#This Row],[Hrly Staff only Bank Hol hrly rate 2]])</f>
        <v/>
      </c>
      <c r="F53" s="22" t="str">
        <f>IF(ISBLANK(Table1[[#This Row],[Per (Year /Hr)]]),"",Table1[[#This Row],[Per (Year /Hr)]])</f>
        <v/>
      </c>
      <c r="G53" s="22" t="str">
        <f>IF(ISBLANK(Table1[[#This Row],['# FTE staff in role]]),"",Table1[[#This Row],['# FTE staff in role]])</f>
        <v/>
      </c>
      <c r="H53" s="22" t="str">
        <f>IF(ISBLANK(Table1[[#This Row],[Combined hrs per week]]),"",Table1[[#This Row],[Combined hrs per week]])</f>
        <v/>
      </c>
      <c r="I53"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3" s="34" t="str">
        <f>IFERROR(IF(Table13[[#This Row],[Per]]="year","",$J$6*Table13[[#This Row],[Cohort Wage (includes BH for hrly rate staff)]]),"")</f>
        <v/>
      </c>
      <c r="K53" s="35" t="str">
        <f>IFERROR(IF(Table13[[#This Row],[Per]]="year",Table13[[#This Row],[Cohort Wage (includes BH for hrly rate staff)]]*Table13[[#This Row],['# Staff in role]],Table13[[#This Row],[Cohort Wage (includes BH for hrly rate staff)]]+Table13[[#This Row],[Hrly staff AL acrual]]),"")</f>
        <v/>
      </c>
    </row>
    <row r="54" spans="1:11" x14ac:dyDescent="0.35">
      <c r="A54" s="22" t="str">
        <f>IF(ISBLANK(Table1[[#This Row],[Role]]),"",Table1[[#This Row],[Role]])</f>
        <v/>
      </c>
      <c r="B54" s="22" t="str">
        <f>IF(ISBLANK(Table1[[#This Row],[Role type]]),"",Table1[[#This Row],[Role type]])</f>
        <v/>
      </c>
      <c r="C54" s="46" t="str">
        <f>IF(ISBLANK(Table1[[#This Row],[Rate]]),"",Table1[[#This Row],[Rate]])</f>
        <v/>
      </c>
      <c r="D54" s="46" t="str">
        <f>IF(ISBLANK(Table1[[#This Row],[Hrly Staff only Bank Hol hrly rate 1]]),"",Table1[[#This Row],[Hrly Staff only Bank Hol hrly rate 1]])</f>
        <v/>
      </c>
      <c r="E54" s="46" t="str">
        <f>IF(ISBLANK(Table1[[#This Row],[Hrly Staff only Bank Hol hrly rate 2]]),"",Table1[[#This Row],[Hrly Staff only Bank Hol hrly rate 2]])</f>
        <v/>
      </c>
      <c r="F54" s="22" t="str">
        <f>IF(ISBLANK(Table1[[#This Row],[Per (Year /Hr)]]),"",Table1[[#This Row],[Per (Year /Hr)]])</f>
        <v/>
      </c>
      <c r="G54" s="22" t="str">
        <f>IF(ISBLANK(Table1[[#This Row],['# FTE staff in role]]),"",Table1[[#This Row],['# FTE staff in role]])</f>
        <v/>
      </c>
      <c r="H54" s="22" t="str">
        <f>IF(ISBLANK(Table1[[#This Row],[Combined hrs per week]]),"",Table1[[#This Row],[Combined hrs per week]])</f>
        <v/>
      </c>
      <c r="I54"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4" s="34" t="str">
        <f>IFERROR(IF(Table13[[#This Row],[Per]]="year","",$J$6*Table13[[#This Row],[Cohort Wage (includes BH for hrly rate staff)]]),"")</f>
        <v/>
      </c>
      <c r="K54" s="35" t="str">
        <f>IFERROR(IF(Table13[[#This Row],[Per]]="year",Table13[[#This Row],[Cohort Wage (includes BH for hrly rate staff)]]*Table13[[#This Row],['# Staff in role]],Table13[[#This Row],[Cohort Wage (includes BH for hrly rate staff)]]+Table13[[#This Row],[Hrly staff AL acrual]]),"")</f>
        <v/>
      </c>
    </row>
    <row r="55" spans="1:11" x14ac:dyDescent="0.35">
      <c r="A55" s="22" t="str">
        <f>IF(ISBLANK(Table1[[#This Row],[Role]]),"",Table1[[#This Row],[Role]])</f>
        <v/>
      </c>
      <c r="B55" s="22" t="str">
        <f>IF(ISBLANK(Table1[[#This Row],[Role type]]),"",Table1[[#This Row],[Role type]])</f>
        <v/>
      </c>
      <c r="C55" s="46" t="str">
        <f>IF(ISBLANK(Table1[[#This Row],[Rate]]),"",Table1[[#This Row],[Rate]])</f>
        <v/>
      </c>
      <c r="D55" s="46" t="str">
        <f>IF(ISBLANK(Table1[[#This Row],[Hrly Staff only Bank Hol hrly rate 1]]),"",Table1[[#This Row],[Hrly Staff only Bank Hol hrly rate 1]])</f>
        <v/>
      </c>
      <c r="E55" s="46" t="str">
        <f>IF(ISBLANK(Table1[[#This Row],[Hrly Staff only Bank Hol hrly rate 2]]),"",Table1[[#This Row],[Hrly Staff only Bank Hol hrly rate 2]])</f>
        <v/>
      </c>
      <c r="F55" s="22" t="str">
        <f>IF(ISBLANK(Table1[[#This Row],[Per (Year /Hr)]]),"",Table1[[#This Row],[Per (Year /Hr)]])</f>
        <v/>
      </c>
      <c r="G55" s="22" t="str">
        <f>IF(ISBLANK(Table1[[#This Row],['# FTE staff in role]]),"",Table1[[#This Row],['# FTE staff in role]])</f>
        <v/>
      </c>
      <c r="H55" s="22" t="str">
        <f>IF(ISBLANK(Table1[[#This Row],[Combined hrs per week]]),"",Table1[[#This Row],[Combined hrs per week]])</f>
        <v/>
      </c>
      <c r="I55"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5" s="34" t="str">
        <f>IFERROR(IF(Table13[[#This Row],[Per]]="year","",$J$6*Table13[[#This Row],[Cohort Wage (includes BH for hrly rate staff)]]),"")</f>
        <v/>
      </c>
      <c r="K55" s="35" t="str">
        <f>IFERROR(IF(Table13[[#This Row],[Per]]="year",Table13[[#This Row],[Cohort Wage (includes BH for hrly rate staff)]]*Table13[[#This Row],['# Staff in role]],Table13[[#This Row],[Cohort Wage (includes BH for hrly rate staff)]]+Table13[[#This Row],[Hrly staff AL acrual]]),"")</f>
        <v/>
      </c>
    </row>
    <row r="56" spans="1:11" x14ac:dyDescent="0.35">
      <c r="A56" s="22" t="str">
        <f>IF(ISBLANK(Table1[[#This Row],[Role]]),"",Table1[[#This Row],[Role]])</f>
        <v/>
      </c>
      <c r="B56" s="22" t="str">
        <f>IF(ISBLANK(Table1[[#This Row],[Role type]]),"",Table1[[#This Row],[Role type]])</f>
        <v/>
      </c>
      <c r="C56" s="46" t="str">
        <f>IF(ISBLANK(Table1[[#This Row],[Rate]]),"",Table1[[#This Row],[Rate]])</f>
        <v/>
      </c>
      <c r="D56" s="46" t="str">
        <f>IF(ISBLANK(Table1[[#This Row],[Hrly Staff only Bank Hol hrly rate 1]]),"",Table1[[#This Row],[Hrly Staff only Bank Hol hrly rate 1]])</f>
        <v/>
      </c>
      <c r="E56" s="46" t="str">
        <f>IF(ISBLANK(Table1[[#This Row],[Hrly Staff only Bank Hol hrly rate 2]]),"",Table1[[#This Row],[Hrly Staff only Bank Hol hrly rate 2]])</f>
        <v/>
      </c>
      <c r="F56" s="22" t="str">
        <f>IF(ISBLANK(Table1[[#This Row],[Per (Year /Hr)]]),"",Table1[[#This Row],[Per (Year /Hr)]])</f>
        <v/>
      </c>
      <c r="G56" s="22" t="str">
        <f>IF(ISBLANK(Table1[[#This Row],['# FTE staff in role]]),"",Table1[[#This Row],['# FTE staff in role]])</f>
        <v/>
      </c>
      <c r="H56" s="22" t="str">
        <f>IF(ISBLANK(Table1[[#This Row],[Combined hrs per week]]),"",Table1[[#This Row],[Combined hrs per week]])</f>
        <v/>
      </c>
      <c r="I56"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6" s="34" t="str">
        <f>IFERROR(IF(Table13[[#This Row],[Per]]="year","",$J$6*Table13[[#This Row],[Cohort Wage (includes BH for hrly rate staff)]]),"")</f>
        <v/>
      </c>
      <c r="K56" s="35" t="str">
        <f>IFERROR(IF(Table13[[#This Row],[Per]]="year",Table13[[#This Row],[Cohort Wage (includes BH for hrly rate staff)]]*Table13[[#This Row],['# Staff in role]],Table13[[#This Row],[Cohort Wage (includes BH for hrly rate staff)]]+Table13[[#This Row],[Hrly staff AL acrual]]),"")</f>
        <v/>
      </c>
    </row>
    <row r="57" spans="1:11" x14ac:dyDescent="0.35">
      <c r="A57" s="22" t="str">
        <f>IF(ISBLANK(Table1[[#This Row],[Role]]),"",Table1[[#This Row],[Role]])</f>
        <v/>
      </c>
      <c r="B57" s="22" t="str">
        <f>IF(ISBLANK(Table1[[#This Row],[Role type]]),"",Table1[[#This Row],[Role type]])</f>
        <v/>
      </c>
      <c r="C57" s="46" t="str">
        <f>IF(ISBLANK(Table1[[#This Row],[Rate]]),"",Table1[[#This Row],[Rate]])</f>
        <v/>
      </c>
      <c r="D57" s="46" t="str">
        <f>IF(ISBLANK(Table1[[#This Row],[Hrly Staff only Bank Hol hrly rate 1]]),"",Table1[[#This Row],[Hrly Staff only Bank Hol hrly rate 1]])</f>
        <v/>
      </c>
      <c r="E57" s="46" t="str">
        <f>IF(ISBLANK(Table1[[#This Row],[Hrly Staff only Bank Hol hrly rate 2]]),"",Table1[[#This Row],[Hrly Staff only Bank Hol hrly rate 2]])</f>
        <v/>
      </c>
      <c r="F57" s="22" t="str">
        <f>IF(ISBLANK(Table1[[#This Row],[Per (Year /Hr)]]),"",Table1[[#This Row],[Per (Year /Hr)]])</f>
        <v/>
      </c>
      <c r="G57" s="22" t="str">
        <f>IF(ISBLANK(Table1[[#This Row],['# FTE staff in role]]),"",Table1[[#This Row],['# FTE staff in role]])</f>
        <v/>
      </c>
      <c r="H57" s="22" t="str">
        <f>IF(ISBLANK(Table1[[#This Row],[Combined hrs per week]]),"",Table1[[#This Row],[Combined hrs per week]])</f>
        <v/>
      </c>
      <c r="I57"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7" s="34" t="str">
        <f>IFERROR(IF(Table13[[#This Row],[Per]]="year","",$J$6*Table13[[#This Row],[Cohort Wage (includes BH for hrly rate staff)]]),"")</f>
        <v/>
      </c>
      <c r="K57" s="35" t="str">
        <f>IFERROR(IF(Table13[[#This Row],[Per]]="year",Table13[[#This Row],[Cohort Wage (includes BH for hrly rate staff)]]*Table13[[#This Row],['# Staff in role]],Table13[[#This Row],[Cohort Wage (includes BH for hrly rate staff)]]+Table13[[#This Row],[Hrly staff AL acrual]]),"")</f>
        <v/>
      </c>
    </row>
    <row r="58" spans="1:11" x14ac:dyDescent="0.35">
      <c r="A58" s="22" t="str">
        <f>IF(ISBLANK(Table1[[#This Row],[Role]]),"",Table1[[#This Row],[Role]])</f>
        <v/>
      </c>
      <c r="B58" s="22" t="str">
        <f>IF(ISBLANK(Table1[[#This Row],[Role type]]),"",Table1[[#This Row],[Role type]])</f>
        <v/>
      </c>
      <c r="C58" s="46" t="str">
        <f>IF(ISBLANK(Table1[[#This Row],[Rate]]),"",Table1[[#This Row],[Rate]])</f>
        <v/>
      </c>
      <c r="D58" s="46" t="str">
        <f>IF(ISBLANK(Table1[[#This Row],[Hrly Staff only Bank Hol hrly rate 1]]),"",Table1[[#This Row],[Hrly Staff only Bank Hol hrly rate 1]])</f>
        <v/>
      </c>
      <c r="E58" s="46" t="str">
        <f>IF(ISBLANK(Table1[[#This Row],[Hrly Staff only Bank Hol hrly rate 2]]),"",Table1[[#This Row],[Hrly Staff only Bank Hol hrly rate 2]])</f>
        <v/>
      </c>
      <c r="F58" s="22" t="str">
        <f>IF(ISBLANK(Table1[[#This Row],[Per (Year /Hr)]]),"",Table1[[#This Row],[Per (Year /Hr)]])</f>
        <v/>
      </c>
      <c r="G58" s="22" t="str">
        <f>IF(ISBLANK(Table1[[#This Row],['# FTE staff in role]]),"",Table1[[#This Row],['# FTE staff in role]])</f>
        <v/>
      </c>
      <c r="H58" s="22" t="str">
        <f>IF(ISBLANK(Table1[[#This Row],[Combined hrs per week]]),"",Table1[[#This Row],[Combined hrs per week]])</f>
        <v/>
      </c>
      <c r="I58"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8" s="34" t="str">
        <f>IFERROR(IF(Table13[[#This Row],[Per]]="year","",$J$6*Table13[[#This Row],[Cohort Wage (includes BH for hrly rate staff)]]),"")</f>
        <v/>
      </c>
      <c r="K58" s="35" t="str">
        <f>IFERROR(IF(Table13[[#This Row],[Per]]="year",Table13[[#This Row],[Cohort Wage (includes BH for hrly rate staff)]]*Table13[[#This Row],['# Staff in role]],Table13[[#This Row],[Cohort Wage (includes BH for hrly rate staff)]]+Table13[[#This Row],[Hrly staff AL acrual]]),"")</f>
        <v/>
      </c>
    </row>
    <row r="59" spans="1:11" x14ac:dyDescent="0.35">
      <c r="A59" s="22" t="str">
        <f>IF(ISBLANK(Table1[[#This Row],[Role]]),"",Table1[[#This Row],[Role]])</f>
        <v/>
      </c>
      <c r="B59" s="22" t="str">
        <f>IF(ISBLANK(Table1[[#This Row],[Role type]]),"",Table1[[#This Row],[Role type]])</f>
        <v/>
      </c>
      <c r="C59" s="46" t="str">
        <f>IF(ISBLANK(Table1[[#This Row],[Rate]]),"",Table1[[#This Row],[Rate]])</f>
        <v/>
      </c>
      <c r="D59" s="46" t="str">
        <f>IF(ISBLANK(Table1[[#This Row],[Hrly Staff only Bank Hol hrly rate 1]]),"",Table1[[#This Row],[Hrly Staff only Bank Hol hrly rate 1]])</f>
        <v/>
      </c>
      <c r="E59" s="46" t="str">
        <f>IF(ISBLANK(Table1[[#This Row],[Hrly Staff only Bank Hol hrly rate 2]]),"",Table1[[#This Row],[Hrly Staff only Bank Hol hrly rate 2]])</f>
        <v/>
      </c>
      <c r="F59" s="22" t="str">
        <f>IF(ISBLANK(Table1[[#This Row],[Per (Year /Hr)]]),"",Table1[[#This Row],[Per (Year /Hr)]])</f>
        <v/>
      </c>
      <c r="G59" s="22" t="str">
        <f>IF(ISBLANK(Table1[[#This Row],['# FTE staff in role]]),"",Table1[[#This Row],['# FTE staff in role]])</f>
        <v/>
      </c>
      <c r="H59" s="22" t="str">
        <f>IF(ISBLANK(Table1[[#This Row],[Combined hrs per week]]),"",Table1[[#This Row],[Combined hrs per week]])</f>
        <v/>
      </c>
      <c r="I59"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59" s="34" t="str">
        <f>IFERROR(IF(Table13[[#This Row],[Per]]="year","",$J$6*Table13[[#This Row],[Cohort Wage (includes BH for hrly rate staff)]]),"")</f>
        <v/>
      </c>
      <c r="K59" s="35" t="str">
        <f>IFERROR(IF(Table13[[#This Row],[Per]]="year",Table13[[#This Row],[Cohort Wage (includes BH for hrly rate staff)]]*Table13[[#This Row],['# Staff in role]],Table13[[#This Row],[Cohort Wage (includes BH for hrly rate staff)]]+Table13[[#This Row],[Hrly staff AL acrual]]),"")</f>
        <v/>
      </c>
    </row>
    <row r="60" spans="1:11" x14ac:dyDescent="0.35">
      <c r="A60" s="22" t="str">
        <f>IF(ISBLANK(Table1[[#This Row],[Role]]),"",Table1[[#This Row],[Role]])</f>
        <v/>
      </c>
      <c r="B60" s="22" t="str">
        <f>IF(ISBLANK(Table1[[#This Row],[Role type]]),"",Table1[[#This Row],[Role type]])</f>
        <v/>
      </c>
      <c r="C60" s="46" t="str">
        <f>IF(ISBLANK(Table1[[#This Row],[Rate]]),"",Table1[[#This Row],[Rate]])</f>
        <v/>
      </c>
      <c r="D60" s="46" t="str">
        <f>IF(ISBLANK(Table1[[#This Row],[Hrly Staff only Bank Hol hrly rate 1]]),"",Table1[[#This Row],[Hrly Staff only Bank Hol hrly rate 1]])</f>
        <v/>
      </c>
      <c r="E60" s="46" t="str">
        <f>IF(ISBLANK(Table1[[#This Row],[Hrly Staff only Bank Hol hrly rate 2]]),"",Table1[[#This Row],[Hrly Staff only Bank Hol hrly rate 2]])</f>
        <v/>
      </c>
      <c r="F60" s="22" t="str">
        <f>IF(ISBLANK(Table1[[#This Row],[Per (Year /Hr)]]),"",Table1[[#This Row],[Per (Year /Hr)]])</f>
        <v/>
      </c>
      <c r="G60" s="22" t="str">
        <f>IF(ISBLANK(Table1[[#This Row],['# FTE staff in role]]),"",Table1[[#This Row],['# FTE staff in role]])</f>
        <v/>
      </c>
      <c r="H60" s="22" t="str">
        <f>IF(ISBLANK(Table1[[#This Row],[Combined hrs per week]]),"",Table1[[#This Row],[Combined hrs per week]])</f>
        <v/>
      </c>
      <c r="I60" s="33"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0" s="34" t="str">
        <f>IFERROR(IF(Table13[[#This Row],[Per]]="year","",$J$6*Table13[[#This Row],[Cohort Wage (includes BH for hrly rate staff)]]),"")</f>
        <v/>
      </c>
      <c r="K60" s="35" t="str">
        <f>IFERROR(IF(Table13[[#This Row],[Per]]="year",Table13[[#This Row],[Cohort Wage (includes BH for hrly rate staff)]]*Table13[[#This Row],['# Staff in role]],Table13[[#This Row],[Cohort Wage (includes BH for hrly rate staff)]]+Table13[[#This Row],[Hrly staff AL acrual]]),"")</f>
        <v/>
      </c>
    </row>
    <row r="61" spans="1:11" x14ac:dyDescent="0.35">
      <c r="A61" s="22" t="str">
        <f>IF(ISBLANK(Table1[[#This Row],[Role]]),"",Table1[[#This Row],[Role]])</f>
        <v/>
      </c>
      <c r="B61" s="22" t="str">
        <f>IF(ISBLANK(Table1[[#This Row],[Role type]]),"",Table1[[#This Row],[Role type]])</f>
        <v/>
      </c>
      <c r="C61" s="46" t="str">
        <f>IF(ISBLANK(Table1[[#This Row],[Rate]]),"",Table1[[#This Row],[Rate]])</f>
        <v/>
      </c>
      <c r="D61" s="46" t="str">
        <f>IF(ISBLANK(Table1[[#This Row],[Hrly Staff only Bank Hol hrly rate 1]]),"",Table1[[#This Row],[Hrly Staff only Bank Hol hrly rate 1]])</f>
        <v/>
      </c>
      <c r="E61" s="46" t="str">
        <f>IF(ISBLANK(Table1[[#This Row],[Hrly Staff only Bank Hol hrly rate 2]]),"",Table1[[#This Row],[Hrly Staff only Bank Hol hrly rate 2]])</f>
        <v/>
      </c>
      <c r="F61" s="22" t="str">
        <f>IF(ISBLANK(Table1[[#This Row],[Per (Year /Hr)]]),"",Table1[[#This Row],[Per (Year /Hr)]])</f>
        <v/>
      </c>
      <c r="G61" s="22" t="str">
        <f>IF(ISBLANK(Table1[[#This Row],['# FTE staff in role]]),"",Table1[[#This Row],['# FTE staff in role]])</f>
        <v/>
      </c>
      <c r="H61" s="22" t="str">
        <f>IF(ISBLANK(Table1[[#This Row],[Combined hrs per week]]),"",Table1[[#This Row],[Combined hrs per week]])</f>
        <v/>
      </c>
      <c r="I61"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1" s="37" t="str">
        <f>IFERROR(IF(Table13[[#This Row],[Per]]="year","",$J$6*Table13[[#This Row],[Cohort Wage (includes BH for hrly rate staff)]]),"")</f>
        <v/>
      </c>
      <c r="K61" s="38" t="str">
        <f>IFERROR(IF(Table13[[#This Row],[Per]]="year",Table13[[#This Row],[Cohort Wage (includes BH for hrly rate staff)]]*Table13[[#This Row],['# Staff in role]],Table13[[#This Row],[Cohort Wage (includes BH for hrly rate staff)]]+Table13[[#This Row],[Hrly staff AL acrual]]),"")</f>
        <v/>
      </c>
    </row>
    <row r="62" spans="1:11" x14ac:dyDescent="0.35">
      <c r="A62" s="22" t="str">
        <f>IF(ISBLANK(Table1[[#This Row],[Role]]),"",Table1[[#This Row],[Role]])</f>
        <v/>
      </c>
      <c r="B62" s="22" t="str">
        <f>IF(ISBLANK(Table1[[#This Row],[Role type]]),"",Table1[[#This Row],[Role type]])</f>
        <v/>
      </c>
      <c r="C62" s="46" t="str">
        <f>IF(ISBLANK(Table1[[#This Row],[Rate]]),"",Table1[[#This Row],[Rate]])</f>
        <v/>
      </c>
      <c r="D62" s="46" t="str">
        <f>IF(ISBLANK(Table1[[#This Row],[Hrly Staff only Bank Hol hrly rate 1]]),"",Table1[[#This Row],[Hrly Staff only Bank Hol hrly rate 1]])</f>
        <v/>
      </c>
      <c r="E62" s="46" t="str">
        <f>IF(ISBLANK(Table1[[#This Row],[Hrly Staff only Bank Hol hrly rate 2]]),"",Table1[[#This Row],[Hrly Staff only Bank Hol hrly rate 2]])</f>
        <v/>
      </c>
      <c r="F62" s="22" t="str">
        <f>IF(ISBLANK(Table1[[#This Row],[Per (Year /Hr)]]),"",Table1[[#This Row],[Per (Year /Hr)]])</f>
        <v/>
      </c>
      <c r="G62" s="22" t="str">
        <f>IF(ISBLANK(Table1[[#This Row],['# FTE staff in role]]),"",Table1[[#This Row],['# FTE staff in role]])</f>
        <v/>
      </c>
      <c r="H62" s="22" t="str">
        <f>IF(ISBLANK(Table1[[#This Row],[Combined hrs per week]]),"",Table1[[#This Row],[Combined hrs per week]])</f>
        <v/>
      </c>
      <c r="I62"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2" s="37" t="str">
        <f>IFERROR(IF(Table13[[#This Row],[Per]]="year","",$J$6*Table13[[#This Row],[Cohort Wage (includes BH for hrly rate staff)]]),"")</f>
        <v/>
      </c>
      <c r="K62" s="38" t="str">
        <f>IFERROR(IF(Table13[[#This Row],[Per]]="year",Table13[[#This Row],[Cohort Wage (includes BH for hrly rate staff)]]*Table13[[#This Row],['# Staff in role]],Table13[[#This Row],[Cohort Wage (includes BH for hrly rate staff)]]+Table13[[#This Row],[Hrly staff AL acrual]]),"")</f>
        <v/>
      </c>
    </row>
    <row r="63" spans="1:11" x14ac:dyDescent="0.35">
      <c r="A63" s="22" t="str">
        <f>IF(ISBLANK(Table1[[#This Row],[Role]]),"",Table1[[#This Row],[Role]])</f>
        <v/>
      </c>
      <c r="B63" s="22" t="str">
        <f>IF(ISBLANK(Table1[[#This Row],[Role type]]),"",Table1[[#This Row],[Role type]])</f>
        <v/>
      </c>
      <c r="C63" s="46" t="str">
        <f>IF(ISBLANK(Table1[[#This Row],[Rate]]),"",Table1[[#This Row],[Rate]])</f>
        <v/>
      </c>
      <c r="D63" s="46" t="str">
        <f>IF(ISBLANK(Table1[[#This Row],[Hrly Staff only Bank Hol hrly rate 1]]),"",Table1[[#This Row],[Hrly Staff only Bank Hol hrly rate 1]])</f>
        <v/>
      </c>
      <c r="E63" s="46" t="str">
        <f>IF(ISBLANK(Table1[[#This Row],[Hrly Staff only Bank Hol hrly rate 2]]),"",Table1[[#This Row],[Hrly Staff only Bank Hol hrly rate 2]])</f>
        <v/>
      </c>
      <c r="F63" s="22" t="str">
        <f>IF(ISBLANK(Table1[[#This Row],[Per (Year /Hr)]]),"",Table1[[#This Row],[Per (Year /Hr)]])</f>
        <v/>
      </c>
      <c r="G63" s="22" t="str">
        <f>IF(ISBLANK(Table1[[#This Row],['# FTE staff in role]]),"",Table1[[#This Row],['# FTE staff in role]])</f>
        <v/>
      </c>
      <c r="H63" s="22" t="str">
        <f>IF(ISBLANK(Table1[[#This Row],[Combined hrs per week]]),"",Table1[[#This Row],[Combined hrs per week]])</f>
        <v/>
      </c>
      <c r="I63"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3" s="37" t="str">
        <f>IFERROR(IF(Table13[[#This Row],[Per]]="year","",$J$6*Table13[[#This Row],[Cohort Wage (includes BH for hrly rate staff)]]),"")</f>
        <v/>
      </c>
      <c r="K63" s="38" t="str">
        <f>IFERROR(IF(Table13[[#This Row],[Per]]="year",Table13[[#This Row],[Cohort Wage (includes BH for hrly rate staff)]]*Table13[[#This Row],['# Staff in role]],Table13[[#This Row],[Cohort Wage (includes BH for hrly rate staff)]]+Table13[[#This Row],[Hrly staff AL acrual]]),"")</f>
        <v/>
      </c>
    </row>
    <row r="64" spans="1:11" x14ac:dyDescent="0.35">
      <c r="A64" s="22" t="str">
        <f>IF(ISBLANK(Table1[[#This Row],[Role]]),"",Table1[[#This Row],[Role]])</f>
        <v/>
      </c>
      <c r="B64" s="22" t="str">
        <f>IF(ISBLANK(Table1[[#This Row],[Role type]]),"",Table1[[#This Row],[Role type]])</f>
        <v/>
      </c>
      <c r="C64" s="46" t="str">
        <f>IF(ISBLANK(Table1[[#This Row],[Rate]]),"",Table1[[#This Row],[Rate]])</f>
        <v/>
      </c>
      <c r="D64" s="46" t="str">
        <f>IF(ISBLANK(Table1[[#This Row],[Hrly Staff only Bank Hol hrly rate 1]]),"",Table1[[#This Row],[Hrly Staff only Bank Hol hrly rate 1]])</f>
        <v/>
      </c>
      <c r="E64" s="46" t="str">
        <f>IF(ISBLANK(Table1[[#This Row],[Hrly Staff only Bank Hol hrly rate 2]]),"",Table1[[#This Row],[Hrly Staff only Bank Hol hrly rate 2]])</f>
        <v/>
      </c>
      <c r="F64" s="22" t="str">
        <f>IF(ISBLANK(Table1[[#This Row],[Per (Year /Hr)]]),"",Table1[[#This Row],[Per (Year /Hr)]])</f>
        <v/>
      </c>
      <c r="G64" s="22" t="str">
        <f>IF(ISBLANK(Table1[[#This Row],['# FTE staff in role]]),"",Table1[[#This Row],['# FTE staff in role]])</f>
        <v/>
      </c>
      <c r="H64" s="22" t="str">
        <f>IF(ISBLANK(Table1[[#This Row],[Combined hrs per week]]),"",Table1[[#This Row],[Combined hrs per week]])</f>
        <v/>
      </c>
      <c r="I64"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4" s="37" t="str">
        <f>IFERROR(IF(Table13[[#This Row],[Per]]="year","",$J$6*Table13[[#This Row],[Cohort Wage (includes BH for hrly rate staff)]]),"")</f>
        <v/>
      </c>
      <c r="K64" s="38" t="str">
        <f>IFERROR(IF(Table13[[#This Row],[Per]]="year",Table13[[#This Row],[Cohort Wage (includes BH for hrly rate staff)]]*Table13[[#This Row],['# Staff in role]],Table13[[#This Row],[Cohort Wage (includes BH for hrly rate staff)]]+Table13[[#This Row],[Hrly staff AL acrual]]),"")</f>
        <v/>
      </c>
    </row>
    <row r="65" spans="1:11" x14ac:dyDescent="0.35">
      <c r="A65" s="22" t="str">
        <f>IF(ISBLANK(Table1[[#This Row],[Role]]),"",Table1[[#This Row],[Role]])</f>
        <v/>
      </c>
      <c r="B65" s="22" t="str">
        <f>IF(ISBLANK(Table1[[#This Row],[Role type]]),"",Table1[[#This Row],[Role type]])</f>
        <v/>
      </c>
      <c r="C65" s="46" t="str">
        <f>IF(ISBLANK(Table1[[#This Row],[Rate]]),"",Table1[[#This Row],[Rate]])</f>
        <v/>
      </c>
      <c r="D65" s="46" t="str">
        <f>IF(ISBLANK(Table1[[#This Row],[Hrly Staff only Bank Hol hrly rate 1]]),"",Table1[[#This Row],[Hrly Staff only Bank Hol hrly rate 1]])</f>
        <v/>
      </c>
      <c r="E65" s="46" t="str">
        <f>IF(ISBLANK(Table1[[#This Row],[Hrly Staff only Bank Hol hrly rate 2]]),"",Table1[[#This Row],[Hrly Staff only Bank Hol hrly rate 2]])</f>
        <v/>
      </c>
      <c r="F65" s="22" t="str">
        <f>IF(ISBLANK(Table1[[#This Row],[Per (Year /Hr)]]),"",Table1[[#This Row],[Per (Year /Hr)]])</f>
        <v/>
      </c>
      <c r="G65" s="22" t="str">
        <f>IF(ISBLANK(Table1[[#This Row],['# FTE staff in role]]),"",Table1[[#This Row],['# FTE staff in role]])</f>
        <v/>
      </c>
      <c r="H65" s="22" t="str">
        <f>IF(ISBLANK(Table1[[#This Row],[Combined hrs per week]]),"",Table1[[#This Row],[Combined hrs per week]])</f>
        <v/>
      </c>
      <c r="I65"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5" s="37" t="str">
        <f>IFERROR(IF(Table13[[#This Row],[Per]]="year","",$J$6*Table13[[#This Row],[Cohort Wage (includes BH for hrly rate staff)]]),"")</f>
        <v/>
      </c>
      <c r="K65" s="38" t="str">
        <f>IFERROR(IF(Table13[[#This Row],[Per]]="year",Table13[[#This Row],[Cohort Wage (includes BH for hrly rate staff)]]*Table13[[#This Row],['# Staff in role]],Table13[[#This Row],[Cohort Wage (includes BH for hrly rate staff)]]+Table13[[#This Row],[Hrly staff AL acrual]]),"")</f>
        <v/>
      </c>
    </row>
    <row r="66" spans="1:11" x14ac:dyDescent="0.35">
      <c r="A66" s="22" t="str">
        <f>IF(ISBLANK(Table1[[#This Row],[Role]]),"",Table1[[#This Row],[Role]])</f>
        <v/>
      </c>
      <c r="B66" s="22" t="str">
        <f>IF(ISBLANK(Table1[[#This Row],[Role type]]),"",Table1[[#This Row],[Role type]])</f>
        <v/>
      </c>
      <c r="C66" s="46" t="str">
        <f>IF(ISBLANK(Table1[[#This Row],[Rate]]),"",Table1[[#This Row],[Rate]])</f>
        <v/>
      </c>
      <c r="D66" s="46" t="str">
        <f>IF(ISBLANK(Table1[[#This Row],[Hrly Staff only Bank Hol hrly rate 1]]),"",Table1[[#This Row],[Hrly Staff only Bank Hol hrly rate 1]])</f>
        <v/>
      </c>
      <c r="E66" s="46" t="str">
        <f>IF(ISBLANK(Table1[[#This Row],[Hrly Staff only Bank Hol hrly rate 2]]),"",Table1[[#This Row],[Hrly Staff only Bank Hol hrly rate 2]])</f>
        <v/>
      </c>
      <c r="F66" s="22" t="str">
        <f>IF(ISBLANK(Table1[[#This Row],[Per (Year /Hr)]]),"",Table1[[#This Row],[Per (Year /Hr)]])</f>
        <v/>
      </c>
      <c r="G66" s="22" t="str">
        <f>IF(ISBLANK(Table1[[#This Row],['# FTE staff in role]]),"",Table1[[#This Row],['# FTE staff in role]])</f>
        <v/>
      </c>
      <c r="H66" s="22" t="str">
        <f>IF(ISBLANK(Table1[[#This Row],[Combined hrs per week]]),"",Table1[[#This Row],[Combined hrs per week]])</f>
        <v/>
      </c>
      <c r="I66"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6" s="37" t="str">
        <f>IFERROR(IF(Table13[[#This Row],[Per]]="year","",$J$6*Table13[[#This Row],[Cohort Wage (includes BH for hrly rate staff)]]),"")</f>
        <v/>
      </c>
      <c r="K66" s="38" t="str">
        <f>IFERROR(IF(Table13[[#This Row],[Per]]="year",Table13[[#This Row],[Cohort Wage (includes BH for hrly rate staff)]]*Table13[[#This Row],['# Staff in role]],Table13[[#This Row],[Cohort Wage (includes BH for hrly rate staff)]]+Table13[[#This Row],[Hrly staff AL acrual]]),"")</f>
        <v/>
      </c>
    </row>
    <row r="67" spans="1:11" x14ac:dyDescent="0.35">
      <c r="A67" s="22" t="str">
        <f>IF(ISBLANK(Table1[[#This Row],[Role]]),"",Table1[[#This Row],[Role]])</f>
        <v/>
      </c>
      <c r="B67" s="22" t="str">
        <f>IF(ISBLANK(Table1[[#This Row],[Role type]]),"",Table1[[#This Row],[Role type]])</f>
        <v/>
      </c>
      <c r="C67" s="46" t="str">
        <f>IF(ISBLANK(Table1[[#This Row],[Rate]]),"",Table1[[#This Row],[Rate]])</f>
        <v/>
      </c>
      <c r="D67" s="46" t="str">
        <f>IF(ISBLANK(Table1[[#This Row],[Hrly Staff only Bank Hol hrly rate 1]]),"",Table1[[#This Row],[Hrly Staff only Bank Hol hrly rate 1]])</f>
        <v/>
      </c>
      <c r="E67" s="46" t="str">
        <f>IF(ISBLANK(Table1[[#This Row],[Hrly Staff only Bank Hol hrly rate 2]]),"",Table1[[#This Row],[Hrly Staff only Bank Hol hrly rate 2]])</f>
        <v/>
      </c>
      <c r="F67" s="22" t="str">
        <f>IF(ISBLANK(Table1[[#This Row],[Per (Year /Hr)]]),"",Table1[[#This Row],[Per (Year /Hr)]])</f>
        <v/>
      </c>
      <c r="G67" s="22" t="str">
        <f>IF(ISBLANK(Table1[[#This Row],['# FTE staff in role]]),"",Table1[[#This Row],['# FTE staff in role]])</f>
        <v/>
      </c>
      <c r="H67" s="22" t="str">
        <f>IF(ISBLANK(Table1[[#This Row],[Combined hrs per week]]),"",Table1[[#This Row],[Combined hrs per week]])</f>
        <v/>
      </c>
      <c r="I67"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7" s="37" t="str">
        <f>IFERROR(IF(Table13[[#This Row],[Per]]="year","",$J$6*Table13[[#This Row],[Cohort Wage (includes BH for hrly rate staff)]]),"")</f>
        <v/>
      </c>
      <c r="K67" s="38" t="str">
        <f>IFERROR(IF(Table13[[#This Row],[Per]]="year",Table13[[#This Row],[Cohort Wage (includes BH for hrly rate staff)]]*Table13[[#This Row],['# Staff in role]],Table13[[#This Row],[Cohort Wage (includes BH for hrly rate staff)]]+Table13[[#This Row],[Hrly staff AL acrual]]),"")</f>
        <v/>
      </c>
    </row>
    <row r="68" spans="1:11" x14ac:dyDescent="0.35">
      <c r="A68" s="22" t="str">
        <f>IF(ISBLANK(Table1[[#This Row],[Role]]),"",Table1[[#This Row],[Role]])</f>
        <v/>
      </c>
      <c r="B68" s="22" t="str">
        <f>IF(ISBLANK(Table1[[#This Row],[Role type]]),"",Table1[[#This Row],[Role type]])</f>
        <v/>
      </c>
      <c r="C68" s="46" t="str">
        <f>IF(ISBLANK(Table1[[#This Row],[Rate]]),"",Table1[[#This Row],[Rate]])</f>
        <v/>
      </c>
      <c r="D68" s="46" t="str">
        <f>IF(ISBLANK(Table1[[#This Row],[Hrly Staff only Bank Hol hrly rate 1]]),"",Table1[[#This Row],[Hrly Staff only Bank Hol hrly rate 1]])</f>
        <v/>
      </c>
      <c r="E68" s="46" t="str">
        <f>IF(ISBLANK(Table1[[#This Row],[Hrly Staff only Bank Hol hrly rate 2]]),"",Table1[[#This Row],[Hrly Staff only Bank Hol hrly rate 2]])</f>
        <v/>
      </c>
      <c r="F68" s="22" t="str">
        <f>IF(ISBLANK(Table1[[#This Row],[Per (Year /Hr)]]),"",Table1[[#This Row],[Per (Year /Hr)]])</f>
        <v/>
      </c>
      <c r="G68" s="22" t="str">
        <f>IF(ISBLANK(Table1[[#This Row],['# FTE staff in role]]),"",Table1[[#This Row],['# FTE staff in role]])</f>
        <v/>
      </c>
      <c r="H68" s="22" t="str">
        <f>IF(ISBLANK(Table1[[#This Row],[Combined hrs per week]]),"",Table1[[#This Row],[Combined hrs per week]])</f>
        <v/>
      </c>
      <c r="I68"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8" s="37" t="str">
        <f>IFERROR(IF(Table13[[#This Row],[Per]]="year","",$J$6*Table13[[#This Row],[Cohort Wage (includes BH for hrly rate staff)]]),"")</f>
        <v/>
      </c>
      <c r="K68" s="38" t="str">
        <f>IFERROR(IF(Table13[[#This Row],[Per]]="year",Table13[[#This Row],[Cohort Wage (includes BH for hrly rate staff)]]*Table13[[#This Row],['# Staff in role]],Table13[[#This Row],[Cohort Wage (includes BH for hrly rate staff)]]+Table13[[#This Row],[Hrly staff AL acrual]]),"")</f>
        <v/>
      </c>
    </row>
    <row r="69" spans="1:11" x14ac:dyDescent="0.35">
      <c r="A69" s="22" t="str">
        <f>IF(ISBLANK(Table1[[#This Row],[Role]]),"",Table1[[#This Row],[Role]])</f>
        <v/>
      </c>
      <c r="B69" s="22" t="str">
        <f>IF(ISBLANK(Table1[[#This Row],[Role type]]),"",Table1[[#This Row],[Role type]])</f>
        <v/>
      </c>
      <c r="C69" s="46" t="str">
        <f>IF(ISBLANK(Table1[[#This Row],[Rate]]),"",Table1[[#This Row],[Rate]])</f>
        <v/>
      </c>
      <c r="D69" s="46" t="str">
        <f>IF(ISBLANK(Table1[[#This Row],[Hrly Staff only Bank Hol hrly rate 1]]),"",Table1[[#This Row],[Hrly Staff only Bank Hol hrly rate 1]])</f>
        <v/>
      </c>
      <c r="E69" s="46" t="str">
        <f>IF(ISBLANK(Table1[[#This Row],[Hrly Staff only Bank Hol hrly rate 2]]),"",Table1[[#This Row],[Hrly Staff only Bank Hol hrly rate 2]])</f>
        <v/>
      </c>
      <c r="F69" s="22" t="str">
        <f>IF(ISBLANK(Table1[[#This Row],[Per (Year /Hr)]]),"",Table1[[#This Row],[Per (Year /Hr)]])</f>
        <v/>
      </c>
      <c r="G69" s="22" t="str">
        <f>IF(ISBLANK(Table1[[#This Row],['# FTE staff in role]]),"",Table1[[#This Row],['# FTE staff in role]])</f>
        <v/>
      </c>
      <c r="H69" s="22" t="str">
        <f>IF(ISBLANK(Table1[[#This Row],[Combined hrs per week]]),"",Table1[[#This Row],[Combined hrs per week]])</f>
        <v/>
      </c>
      <c r="I69"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69" s="37" t="str">
        <f>IFERROR(IF(Table13[[#This Row],[Per]]="year","",$J$6*Table13[[#This Row],[Cohort Wage (includes BH for hrly rate staff)]]),"")</f>
        <v/>
      </c>
      <c r="K69" s="38" t="str">
        <f>IFERROR(IF(Table13[[#This Row],[Per]]="year",Table13[[#This Row],[Cohort Wage (includes BH for hrly rate staff)]]*Table13[[#This Row],['# Staff in role]],Table13[[#This Row],[Cohort Wage (includes BH for hrly rate staff)]]+Table13[[#This Row],[Hrly staff AL acrual]]),"")</f>
        <v/>
      </c>
    </row>
    <row r="70" spans="1:11" x14ac:dyDescent="0.35">
      <c r="A70" s="22" t="str">
        <f>IF(ISBLANK(Table1[[#This Row],[Role]]),"",Table1[[#This Row],[Role]])</f>
        <v/>
      </c>
      <c r="B70" s="22" t="str">
        <f>IF(ISBLANK(Table1[[#This Row],[Role type]]),"",Table1[[#This Row],[Role type]])</f>
        <v/>
      </c>
      <c r="C70" s="46" t="str">
        <f>IF(ISBLANK(Table1[[#This Row],[Rate]]),"",Table1[[#This Row],[Rate]])</f>
        <v/>
      </c>
      <c r="D70" s="46" t="str">
        <f>IF(ISBLANK(Table1[[#This Row],[Hrly Staff only Bank Hol hrly rate 1]]),"",Table1[[#This Row],[Hrly Staff only Bank Hol hrly rate 1]])</f>
        <v/>
      </c>
      <c r="E70" s="46" t="str">
        <f>IF(ISBLANK(Table1[[#This Row],[Hrly Staff only Bank Hol hrly rate 2]]),"",Table1[[#This Row],[Hrly Staff only Bank Hol hrly rate 2]])</f>
        <v/>
      </c>
      <c r="F70" s="22" t="str">
        <f>IF(ISBLANK(Table1[[#This Row],[Per (Year /Hr)]]),"",Table1[[#This Row],[Per (Year /Hr)]])</f>
        <v/>
      </c>
      <c r="G70" s="22" t="str">
        <f>IF(ISBLANK(Table1[[#This Row],['# FTE staff in role]]),"",Table1[[#This Row],['# FTE staff in role]])</f>
        <v/>
      </c>
      <c r="H70" s="22" t="str">
        <f>IF(ISBLANK(Table1[[#This Row],[Combined hrs per week]]),"",Table1[[#This Row],[Combined hrs per week]])</f>
        <v/>
      </c>
      <c r="I70"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0" s="37" t="str">
        <f>IFERROR(IF(Table13[[#This Row],[Per]]="year","",$J$6*Table13[[#This Row],[Cohort Wage (includes BH for hrly rate staff)]]),"")</f>
        <v/>
      </c>
      <c r="K70" s="38" t="str">
        <f>IFERROR(IF(Table13[[#This Row],[Per]]="year",Table13[[#This Row],[Cohort Wage (includes BH for hrly rate staff)]]*Table13[[#This Row],['# Staff in role]],Table13[[#This Row],[Cohort Wage (includes BH for hrly rate staff)]]+Table13[[#This Row],[Hrly staff AL acrual]]),"")</f>
        <v/>
      </c>
    </row>
    <row r="71" spans="1:11" x14ac:dyDescent="0.35">
      <c r="A71" s="22" t="str">
        <f>IF(ISBLANK(Table1[[#This Row],[Role]]),"",Table1[[#This Row],[Role]])</f>
        <v/>
      </c>
      <c r="B71" s="22" t="str">
        <f>IF(ISBLANK(Table1[[#This Row],[Role type]]),"",Table1[[#This Row],[Role type]])</f>
        <v/>
      </c>
      <c r="C71" s="46" t="str">
        <f>IF(ISBLANK(Table1[[#This Row],[Rate]]),"",Table1[[#This Row],[Rate]])</f>
        <v/>
      </c>
      <c r="D71" s="46" t="str">
        <f>IF(ISBLANK(Table1[[#This Row],[Hrly Staff only Bank Hol hrly rate 1]]),"",Table1[[#This Row],[Hrly Staff only Bank Hol hrly rate 1]])</f>
        <v/>
      </c>
      <c r="E71" s="46" t="str">
        <f>IF(ISBLANK(Table1[[#This Row],[Hrly Staff only Bank Hol hrly rate 2]]),"",Table1[[#This Row],[Hrly Staff only Bank Hol hrly rate 2]])</f>
        <v/>
      </c>
      <c r="F71" s="22" t="str">
        <f>IF(ISBLANK(Table1[[#This Row],[Per (Year /Hr)]]),"",Table1[[#This Row],[Per (Year /Hr)]])</f>
        <v/>
      </c>
      <c r="G71" s="22" t="str">
        <f>IF(ISBLANK(Table1[[#This Row],['# FTE staff in role]]),"",Table1[[#This Row],['# FTE staff in role]])</f>
        <v/>
      </c>
      <c r="H71" s="22" t="str">
        <f>IF(ISBLANK(Table1[[#This Row],[Combined hrs per week]]),"",Table1[[#This Row],[Combined hrs per week]])</f>
        <v/>
      </c>
      <c r="I71"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1" s="37" t="str">
        <f>IFERROR(IF(Table13[[#This Row],[Per]]="year","",$J$6*Table13[[#This Row],[Cohort Wage (includes BH for hrly rate staff)]]),"")</f>
        <v/>
      </c>
      <c r="K71" s="38" t="str">
        <f>IFERROR(IF(Table13[[#This Row],[Per]]="year",Table13[[#This Row],[Cohort Wage (includes BH for hrly rate staff)]]*Table13[[#This Row],['# Staff in role]],Table13[[#This Row],[Cohort Wage (includes BH for hrly rate staff)]]+Table13[[#This Row],[Hrly staff AL acrual]]),"")</f>
        <v/>
      </c>
    </row>
    <row r="72" spans="1:11" x14ac:dyDescent="0.35">
      <c r="A72" s="22" t="str">
        <f>IF(ISBLANK(Table1[[#This Row],[Role]]),"",Table1[[#This Row],[Role]])</f>
        <v/>
      </c>
      <c r="B72" s="22" t="str">
        <f>IF(ISBLANK(Table1[[#This Row],[Role type]]),"",Table1[[#This Row],[Role type]])</f>
        <v/>
      </c>
      <c r="C72" s="46" t="str">
        <f>IF(ISBLANK(Table1[[#This Row],[Rate]]),"",Table1[[#This Row],[Rate]])</f>
        <v/>
      </c>
      <c r="D72" s="46" t="str">
        <f>IF(ISBLANK(Table1[[#This Row],[Hrly Staff only Bank Hol hrly rate 1]]),"",Table1[[#This Row],[Hrly Staff only Bank Hol hrly rate 1]])</f>
        <v/>
      </c>
      <c r="E72" s="46" t="str">
        <f>IF(ISBLANK(Table1[[#This Row],[Hrly Staff only Bank Hol hrly rate 2]]),"",Table1[[#This Row],[Hrly Staff only Bank Hol hrly rate 2]])</f>
        <v/>
      </c>
      <c r="F72" s="22" t="str">
        <f>IF(ISBLANK(Table1[[#This Row],[Per (Year /Hr)]]),"",Table1[[#This Row],[Per (Year /Hr)]])</f>
        <v/>
      </c>
      <c r="G72" s="22" t="str">
        <f>IF(ISBLANK(Table1[[#This Row],['# FTE staff in role]]),"",Table1[[#This Row],['# FTE staff in role]])</f>
        <v/>
      </c>
      <c r="H72" s="22" t="str">
        <f>IF(ISBLANK(Table1[[#This Row],[Combined hrs per week]]),"",Table1[[#This Row],[Combined hrs per week]])</f>
        <v/>
      </c>
      <c r="I72"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2" s="37" t="str">
        <f>IFERROR(IF(Table13[[#This Row],[Per]]="year","",$J$6*Table13[[#This Row],[Cohort Wage (includes BH for hrly rate staff)]]),"")</f>
        <v/>
      </c>
      <c r="K72" s="38" t="str">
        <f>IFERROR(IF(Table13[[#This Row],[Per]]="year",Table13[[#This Row],[Cohort Wage (includes BH for hrly rate staff)]]*Table13[[#This Row],['# Staff in role]],Table13[[#This Row],[Cohort Wage (includes BH for hrly rate staff)]]+Table13[[#This Row],[Hrly staff AL acrual]]),"")</f>
        <v/>
      </c>
    </row>
    <row r="73" spans="1:11" x14ac:dyDescent="0.35">
      <c r="A73" s="22" t="str">
        <f>IF(ISBLANK(Table1[[#This Row],[Role]]),"",Table1[[#This Row],[Role]])</f>
        <v/>
      </c>
      <c r="B73" s="22" t="str">
        <f>IF(ISBLANK(Table1[[#This Row],[Role type]]),"",Table1[[#This Row],[Role type]])</f>
        <v/>
      </c>
      <c r="C73" s="46" t="str">
        <f>IF(ISBLANK(Table1[[#This Row],[Rate]]),"",Table1[[#This Row],[Rate]])</f>
        <v/>
      </c>
      <c r="D73" s="46" t="str">
        <f>IF(ISBLANK(Table1[[#This Row],[Hrly Staff only Bank Hol hrly rate 1]]),"",Table1[[#This Row],[Hrly Staff only Bank Hol hrly rate 1]])</f>
        <v/>
      </c>
      <c r="E73" s="46" t="str">
        <f>IF(ISBLANK(Table1[[#This Row],[Hrly Staff only Bank Hol hrly rate 2]]),"",Table1[[#This Row],[Hrly Staff only Bank Hol hrly rate 2]])</f>
        <v/>
      </c>
      <c r="F73" s="22" t="str">
        <f>IF(ISBLANK(Table1[[#This Row],[Per (Year /Hr)]]),"",Table1[[#This Row],[Per (Year /Hr)]])</f>
        <v/>
      </c>
      <c r="G73" s="22" t="str">
        <f>IF(ISBLANK(Table1[[#This Row],['# FTE staff in role]]),"",Table1[[#This Row],['# FTE staff in role]])</f>
        <v/>
      </c>
      <c r="H73" s="22" t="str">
        <f>IF(ISBLANK(Table1[[#This Row],[Combined hrs per week]]),"",Table1[[#This Row],[Combined hrs per week]])</f>
        <v/>
      </c>
      <c r="I73"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3" s="37" t="str">
        <f>IFERROR(IF(Table13[[#This Row],[Per]]="year","",$J$6*Table13[[#This Row],[Cohort Wage (includes BH for hrly rate staff)]]),"")</f>
        <v/>
      </c>
      <c r="K73" s="38" t="str">
        <f>IFERROR(IF(Table13[[#This Row],[Per]]="year",Table13[[#This Row],[Cohort Wage (includes BH for hrly rate staff)]]*Table13[[#This Row],['# Staff in role]],Table13[[#This Row],[Cohort Wage (includes BH for hrly rate staff)]]+Table13[[#This Row],[Hrly staff AL acrual]]),"")</f>
        <v/>
      </c>
    </row>
    <row r="74" spans="1:11" x14ac:dyDescent="0.35">
      <c r="A74" s="22" t="str">
        <f>IF(ISBLANK(Table1[[#This Row],[Role]]),"",Table1[[#This Row],[Role]])</f>
        <v/>
      </c>
      <c r="B74" s="22" t="str">
        <f>IF(ISBLANK(Table1[[#This Row],[Role type]]),"",Table1[[#This Row],[Role type]])</f>
        <v/>
      </c>
      <c r="C74" s="46" t="str">
        <f>IF(ISBLANK(Table1[[#This Row],[Rate]]),"",Table1[[#This Row],[Rate]])</f>
        <v/>
      </c>
      <c r="D74" s="46" t="str">
        <f>IF(ISBLANK(Table1[[#This Row],[Hrly Staff only Bank Hol hrly rate 1]]),"",Table1[[#This Row],[Hrly Staff only Bank Hol hrly rate 1]])</f>
        <v/>
      </c>
      <c r="E74" s="46" t="str">
        <f>IF(ISBLANK(Table1[[#This Row],[Hrly Staff only Bank Hol hrly rate 2]]),"",Table1[[#This Row],[Hrly Staff only Bank Hol hrly rate 2]])</f>
        <v/>
      </c>
      <c r="F74" s="22" t="str">
        <f>IF(ISBLANK(Table1[[#This Row],[Per (Year /Hr)]]),"",Table1[[#This Row],[Per (Year /Hr)]])</f>
        <v/>
      </c>
      <c r="G74" s="22" t="str">
        <f>IF(ISBLANK(Table1[[#This Row],['# FTE staff in role]]),"",Table1[[#This Row],['# FTE staff in role]])</f>
        <v/>
      </c>
      <c r="H74" s="22" t="str">
        <f>IF(ISBLANK(Table1[[#This Row],[Combined hrs per week]]),"",Table1[[#This Row],[Combined hrs per week]])</f>
        <v/>
      </c>
      <c r="I74"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4" s="37" t="str">
        <f>IFERROR(IF(Table13[[#This Row],[Per]]="year","",$J$6*Table13[[#This Row],[Cohort Wage (includes BH for hrly rate staff)]]),"")</f>
        <v/>
      </c>
      <c r="K74" s="38" t="str">
        <f>IFERROR(IF(Table13[[#This Row],[Per]]="year",Table13[[#This Row],[Cohort Wage (includes BH for hrly rate staff)]]*Table13[[#This Row],['# Staff in role]],Table13[[#This Row],[Cohort Wage (includes BH for hrly rate staff)]]+Table13[[#This Row],[Hrly staff AL acrual]]),"")</f>
        <v/>
      </c>
    </row>
    <row r="75" spans="1:11" x14ac:dyDescent="0.35">
      <c r="A75" s="22" t="str">
        <f>IF(ISBLANK(Table1[[#This Row],[Role]]),"",Table1[[#This Row],[Role]])</f>
        <v/>
      </c>
      <c r="B75" s="22" t="str">
        <f>IF(ISBLANK(Table1[[#This Row],[Role type]]),"",Table1[[#This Row],[Role type]])</f>
        <v/>
      </c>
      <c r="C75" s="46" t="str">
        <f>IF(ISBLANK(Table1[[#This Row],[Rate]]),"",Table1[[#This Row],[Rate]])</f>
        <v/>
      </c>
      <c r="D75" s="46" t="str">
        <f>IF(ISBLANK(Table1[[#This Row],[Hrly Staff only Bank Hol hrly rate 1]]),"",Table1[[#This Row],[Hrly Staff only Bank Hol hrly rate 1]])</f>
        <v/>
      </c>
      <c r="E75" s="46" t="str">
        <f>IF(ISBLANK(Table1[[#This Row],[Hrly Staff only Bank Hol hrly rate 2]]),"",Table1[[#This Row],[Hrly Staff only Bank Hol hrly rate 2]])</f>
        <v/>
      </c>
      <c r="F75" s="22" t="str">
        <f>IF(ISBLANK(Table1[[#This Row],[Per (Year /Hr)]]),"",Table1[[#This Row],[Per (Year /Hr)]])</f>
        <v/>
      </c>
      <c r="G75" s="22" t="str">
        <f>IF(ISBLANK(Table1[[#This Row],['# FTE staff in role]]),"",Table1[[#This Row],['# FTE staff in role]])</f>
        <v/>
      </c>
      <c r="H75" s="22" t="str">
        <f>IF(ISBLANK(Table1[[#This Row],[Combined hrs per week]]),"",Table1[[#This Row],[Combined hrs per week]])</f>
        <v/>
      </c>
      <c r="I75"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5" s="37" t="str">
        <f>IFERROR(IF(Table13[[#This Row],[Per]]="year","",$J$6*Table13[[#This Row],[Cohort Wage (includes BH for hrly rate staff)]]),"")</f>
        <v/>
      </c>
      <c r="K75" s="38" t="str">
        <f>IFERROR(IF(Table13[[#This Row],[Per]]="year",Table13[[#This Row],[Cohort Wage (includes BH for hrly rate staff)]]*Table13[[#This Row],['# Staff in role]],Table13[[#This Row],[Cohort Wage (includes BH for hrly rate staff)]]+Table13[[#This Row],[Hrly staff AL acrual]]),"")</f>
        <v/>
      </c>
    </row>
    <row r="76" spans="1:11" x14ac:dyDescent="0.35">
      <c r="A76" s="22" t="str">
        <f>IF(ISBLANK(Table1[[#This Row],[Role]]),"",Table1[[#This Row],[Role]])</f>
        <v/>
      </c>
      <c r="B76" s="22" t="str">
        <f>IF(ISBLANK(Table1[[#This Row],[Role type]]),"",Table1[[#This Row],[Role type]])</f>
        <v/>
      </c>
      <c r="C76" s="46" t="str">
        <f>IF(ISBLANK(Table1[[#This Row],[Rate]]),"",Table1[[#This Row],[Rate]])</f>
        <v/>
      </c>
      <c r="D76" s="46" t="str">
        <f>IF(ISBLANK(Table1[[#This Row],[Hrly Staff only Bank Hol hrly rate 1]]),"",Table1[[#This Row],[Hrly Staff only Bank Hol hrly rate 1]])</f>
        <v/>
      </c>
      <c r="E76" s="46" t="str">
        <f>IF(ISBLANK(Table1[[#This Row],[Hrly Staff only Bank Hol hrly rate 2]]),"",Table1[[#This Row],[Hrly Staff only Bank Hol hrly rate 2]])</f>
        <v/>
      </c>
      <c r="F76" s="22" t="str">
        <f>IF(ISBLANK(Table1[[#This Row],[Per (Year /Hr)]]),"",Table1[[#This Row],[Per (Year /Hr)]])</f>
        <v/>
      </c>
      <c r="G76" s="22" t="str">
        <f>IF(ISBLANK(Table1[[#This Row],['# FTE staff in role]]),"",Table1[[#This Row],['# FTE staff in role]])</f>
        <v/>
      </c>
      <c r="H76" s="22" t="str">
        <f>IF(ISBLANK(Table1[[#This Row],[Combined hrs per week]]),"",Table1[[#This Row],[Combined hrs per week]])</f>
        <v/>
      </c>
      <c r="I76"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6" s="37" t="str">
        <f>IFERROR(IF(Table13[[#This Row],[Per]]="year","",$J$6*Table13[[#This Row],[Cohort Wage (includes BH for hrly rate staff)]]),"")</f>
        <v/>
      </c>
      <c r="K76" s="38" t="str">
        <f>IFERROR(IF(Table13[[#This Row],[Per]]="year",Table13[[#This Row],[Cohort Wage (includes BH for hrly rate staff)]]*Table13[[#This Row],['# Staff in role]],Table13[[#This Row],[Cohort Wage (includes BH for hrly rate staff)]]+Table13[[#This Row],[Hrly staff AL acrual]]),"")</f>
        <v/>
      </c>
    </row>
    <row r="77" spans="1:11" x14ac:dyDescent="0.35">
      <c r="A77" s="22" t="str">
        <f>IF(ISBLANK(Table1[[#This Row],[Role]]),"",Table1[[#This Row],[Role]])</f>
        <v/>
      </c>
      <c r="B77" s="22" t="str">
        <f>IF(ISBLANK(Table1[[#This Row],[Role type]]),"",Table1[[#This Row],[Role type]])</f>
        <v/>
      </c>
      <c r="C77" s="46" t="str">
        <f>IF(ISBLANK(Table1[[#This Row],[Rate]]),"",Table1[[#This Row],[Rate]])</f>
        <v/>
      </c>
      <c r="D77" s="46" t="str">
        <f>IF(ISBLANK(Table1[[#This Row],[Hrly Staff only Bank Hol hrly rate 1]]),"",Table1[[#This Row],[Hrly Staff only Bank Hol hrly rate 1]])</f>
        <v/>
      </c>
      <c r="E77" s="46" t="str">
        <f>IF(ISBLANK(Table1[[#This Row],[Hrly Staff only Bank Hol hrly rate 2]]),"",Table1[[#This Row],[Hrly Staff only Bank Hol hrly rate 2]])</f>
        <v/>
      </c>
      <c r="F77" s="22" t="str">
        <f>IF(ISBLANK(Table1[[#This Row],[Per (Year /Hr)]]),"",Table1[[#This Row],[Per (Year /Hr)]])</f>
        <v/>
      </c>
      <c r="G77" s="22" t="str">
        <f>IF(ISBLANK(Table1[[#This Row],['# FTE staff in role]]),"",Table1[[#This Row],['# FTE staff in role]])</f>
        <v/>
      </c>
      <c r="H77" s="22" t="str">
        <f>IF(ISBLANK(Table1[[#This Row],[Combined hrs per week]]),"",Table1[[#This Row],[Combined hrs per week]])</f>
        <v/>
      </c>
      <c r="I77"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7" s="37" t="str">
        <f>IFERROR(IF(Table13[[#This Row],[Per]]="year","",$J$6*Table13[[#This Row],[Cohort Wage (includes BH for hrly rate staff)]]),"")</f>
        <v/>
      </c>
      <c r="K77" s="38" t="str">
        <f>IFERROR(IF(Table13[[#This Row],[Per]]="year",Table13[[#This Row],[Cohort Wage (includes BH for hrly rate staff)]]*Table13[[#This Row],['# Staff in role]],Table13[[#This Row],[Cohort Wage (includes BH for hrly rate staff)]]+Table13[[#This Row],[Hrly staff AL acrual]]),"")</f>
        <v/>
      </c>
    </row>
    <row r="78" spans="1:11" x14ac:dyDescent="0.35">
      <c r="A78" s="22" t="str">
        <f>IF(ISBLANK(Table1[[#This Row],[Role]]),"",Table1[[#This Row],[Role]])</f>
        <v/>
      </c>
      <c r="B78" s="22" t="str">
        <f>IF(ISBLANK(Table1[[#This Row],[Role type]]),"",Table1[[#This Row],[Role type]])</f>
        <v/>
      </c>
      <c r="C78" s="46" t="str">
        <f>IF(ISBLANK(Table1[[#This Row],[Rate]]),"",Table1[[#This Row],[Rate]])</f>
        <v/>
      </c>
      <c r="D78" s="46" t="str">
        <f>IF(ISBLANK(Table1[[#This Row],[Hrly Staff only Bank Hol hrly rate 1]]),"",Table1[[#This Row],[Hrly Staff only Bank Hol hrly rate 1]])</f>
        <v/>
      </c>
      <c r="E78" s="46" t="str">
        <f>IF(ISBLANK(Table1[[#This Row],[Hrly Staff only Bank Hol hrly rate 2]]),"",Table1[[#This Row],[Hrly Staff only Bank Hol hrly rate 2]])</f>
        <v/>
      </c>
      <c r="F78" s="22" t="str">
        <f>IF(ISBLANK(Table1[[#This Row],[Per (Year /Hr)]]),"",Table1[[#This Row],[Per (Year /Hr)]])</f>
        <v/>
      </c>
      <c r="G78" s="22" t="str">
        <f>IF(ISBLANK(Table1[[#This Row],['# FTE staff in role]]),"",Table1[[#This Row],['# FTE staff in role]])</f>
        <v/>
      </c>
      <c r="H78" s="22" t="str">
        <f>IF(ISBLANK(Table1[[#This Row],[Combined hrs per week]]),"",Table1[[#This Row],[Combined hrs per week]])</f>
        <v/>
      </c>
      <c r="I78"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8" s="37" t="str">
        <f>IFERROR(IF(Table13[[#This Row],[Per]]="year","",$J$6*Table13[[#This Row],[Cohort Wage (includes BH for hrly rate staff)]]),"")</f>
        <v/>
      </c>
      <c r="K78" s="38" t="str">
        <f>IFERROR(IF(Table13[[#This Row],[Per]]="year",Table13[[#This Row],[Cohort Wage (includes BH for hrly rate staff)]]*Table13[[#This Row],['# Staff in role]],Table13[[#This Row],[Cohort Wage (includes BH for hrly rate staff)]]+Table13[[#This Row],[Hrly staff AL acrual]]),"")</f>
        <v/>
      </c>
    </row>
    <row r="79" spans="1:11" x14ac:dyDescent="0.35">
      <c r="A79" s="22" t="str">
        <f>IF(ISBLANK(Table1[[#This Row],[Role]]),"",Table1[[#This Row],[Role]])</f>
        <v/>
      </c>
      <c r="B79" s="22" t="str">
        <f>IF(ISBLANK(Table1[[#This Row],[Role type]]),"",Table1[[#This Row],[Role type]])</f>
        <v/>
      </c>
      <c r="C79" s="46" t="str">
        <f>IF(ISBLANK(Table1[[#This Row],[Rate]]),"",Table1[[#This Row],[Rate]])</f>
        <v/>
      </c>
      <c r="D79" s="46" t="str">
        <f>IF(ISBLANK(Table1[[#This Row],[Hrly Staff only Bank Hol hrly rate 1]]),"",Table1[[#This Row],[Hrly Staff only Bank Hol hrly rate 1]])</f>
        <v/>
      </c>
      <c r="E79" s="46" t="str">
        <f>IF(ISBLANK(Table1[[#This Row],[Hrly Staff only Bank Hol hrly rate 2]]),"",Table1[[#This Row],[Hrly Staff only Bank Hol hrly rate 2]])</f>
        <v/>
      </c>
      <c r="F79" s="22" t="str">
        <f>IF(ISBLANK(Table1[[#This Row],[Per (Year /Hr)]]),"",Table1[[#This Row],[Per (Year /Hr)]])</f>
        <v/>
      </c>
      <c r="G79" s="22" t="str">
        <f>IF(ISBLANK(Table1[[#This Row],['# FTE staff in role]]),"",Table1[[#This Row],['# FTE staff in role]])</f>
        <v/>
      </c>
      <c r="H79" s="22" t="str">
        <f>IF(ISBLANK(Table1[[#This Row],[Combined hrs per week]]),"",Table1[[#This Row],[Combined hrs per week]])</f>
        <v/>
      </c>
      <c r="I79"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79" s="37" t="str">
        <f>IFERROR(IF(Table13[[#This Row],[Per]]="year","",$J$6*Table13[[#This Row],[Cohort Wage (includes BH for hrly rate staff)]]),"")</f>
        <v/>
      </c>
      <c r="K79" s="38" t="str">
        <f>IFERROR(IF(Table13[[#This Row],[Per]]="year",Table13[[#This Row],[Cohort Wage (includes BH for hrly rate staff)]]*Table13[[#This Row],['# Staff in role]],Table13[[#This Row],[Cohort Wage (includes BH for hrly rate staff)]]+Table13[[#This Row],[Hrly staff AL acrual]]),"")</f>
        <v/>
      </c>
    </row>
    <row r="80" spans="1:11" x14ac:dyDescent="0.35">
      <c r="A80" s="22" t="str">
        <f>IF(ISBLANK(Table1[[#This Row],[Role]]),"",Table1[[#This Row],[Role]])</f>
        <v/>
      </c>
      <c r="B80" s="22" t="str">
        <f>IF(ISBLANK(Table1[[#This Row],[Role type]]),"",Table1[[#This Row],[Role type]])</f>
        <v/>
      </c>
      <c r="C80" s="46" t="str">
        <f>IF(ISBLANK(Table1[[#This Row],[Rate]]),"",Table1[[#This Row],[Rate]])</f>
        <v/>
      </c>
      <c r="D80" s="46" t="str">
        <f>IF(ISBLANK(Table1[[#This Row],[Hrly Staff only Bank Hol hrly rate 1]]),"",Table1[[#This Row],[Hrly Staff only Bank Hol hrly rate 1]])</f>
        <v/>
      </c>
      <c r="E80" s="46" t="str">
        <f>IF(ISBLANK(Table1[[#This Row],[Hrly Staff only Bank Hol hrly rate 2]]),"",Table1[[#This Row],[Hrly Staff only Bank Hol hrly rate 2]])</f>
        <v/>
      </c>
      <c r="F80" s="22" t="str">
        <f>IF(ISBLANK(Table1[[#This Row],[Per (Year /Hr)]]),"",Table1[[#This Row],[Per (Year /Hr)]])</f>
        <v/>
      </c>
      <c r="G80" s="22" t="str">
        <f>IF(ISBLANK(Table1[[#This Row],['# FTE staff in role]]),"",Table1[[#This Row],['# FTE staff in role]])</f>
        <v/>
      </c>
      <c r="H80" s="22" t="str">
        <f>IF(ISBLANK(Table1[[#This Row],[Combined hrs per week]]),"",Table1[[#This Row],[Combined hrs per week]])</f>
        <v/>
      </c>
      <c r="I80"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80" s="37" t="str">
        <f>IFERROR(IF(Table13[[#This Row],[Per]]="year","",$J$6*Table13[[#This Row],[Cohort Wage (includes BH for hrly rate staff)]]),"")</f>
        <v/>
      </c>
      <c r="K80" s="38" t="str">
        <f>IFERROR(IF(Table13[[#This Row],[Per]]="year",Table13[[#This Row],[Cohort Wage (includes BH for hrly rate staff)]]*Table13[[#This Row],['# Staff in role]],Table13[[#This Row],[Cohort Wage (includes BH for hrly rate staff)]]+Table13[[#This Row],[Hrly staff AL acrual]]),"")</f>
        <v/>
      </c>
    </row>
    <row r="81" spans="1:11" x14ac:dyDescent="0.35">
      <c r="A81" s="22" t="str">
        <f>IF(ISBLANK(Table1[[#This Row],[Role]]),"",Table1[[#This Row],[Role]])</f>
        <v/>
      </c>
      <c r="B81" s="22" t="str">
        <f>IF(ISBLANK(Table1[[#This Row],[Role type]]),"",Table1[[#This Row],[Role type]])</f>
        <v/>
      </c>
      <c r="C81" s="46" t="str">
        <f>IF(ISBLANK(Table1[[#This Row],[Rate]]),"",Table1[[#This Row],[Rate]])</f>
        <v/>
      </c>
      <c r="D81" s="46" t="str">
        <f>IF(ISBLANK(Table1[[#This Row],[Hrly Staff only Bank Hol hrly rate 1]]),"",Table1[[#This Row],[Hrly Staff only Bank Hol hrly rate 1]])</f>
        <v/>
      </c>
      <c r="E81" s="46" t="str">
        <f>IF(ISBLANK(Table1[[#This Row],[Hrly Staff only Bank Hol hrly rate 2]]),"",Table1[[#This Row],[Hrly Staff only Bank Hol hrly rate 2]])</f>
        <v/>
      </c>
      <c r="F81" s="22" t="str">
        <f>IF(ISBLANK(Table1[[#This Row],[Per (Year /Hr)]]),"",Table1[[#This Row],[Per (Year /Hr)]])</f>
        <v/>
      </c>
      <c r="G81" s="22" t="str">
        <f>IF(ISBLANK(Table1[[#This Row],['# FTE staff in role]]),"",Table1[[#This Row],['# FTE staff in role]])</f>
        <v/>
      </c>
      <c r="H81" s="22" t="str">
        <f>IF(ISBLANK(Table1[[#This Row],[Combined hrs per week]]),"",Table1[[#This Row],[Combined hrs per week]])</f>
        <v/>
      </c>
      <c r="I81"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81" s="37" t="str">
        <f>IFERROR(IF(Table13[[#This Row],[Per]]="year","",$J$6*Table13[[#This Row],[Cohort Wage (includes BH for hrly rate staff)]]),"")</f>
        <v/>
      </c>
      <c r="K81" s="38" t="str">
        <f>IFERROR(IF(Table13[[#This Row],[Per]]="year",Table13[[#This Row],[Cohort Wage (includes BH for hrly rate staff)]]*Table13[[#This Row],['# Staff in role]],Table13[[#This Row],[Cohort Wage (includes BH for hrly rate staff)]]+Table13[[#This Row],[Hrly staff AL acrual]]),"")</f>
        <v/>
      </c>
    </row>
    <row r="82" spans="1:11" x14ac:dyDescent="0.35">
      <c r="A82" s="22" t="str">
        <f>IF(ISBLANK(Table1[[#This Row],[Role]]),"",Table1[[#This Row],[Role]])</f>
        <v/>
      </c>
      <c r="B82" s="22" t="str">
        <f>IF(ISBLANK(Table1[[#This Row],[Role type]]),"",Table1[[#This Row],[Role type]])</f>
        <v/>
      </c>
      <c r="C82" s="46" t="str">
        <f>IF(ISBLANK(Table1[[#This Row],[Rate]]),"",Table1[[#This Row],[Rate]])</f>
        <v/>
      </c>
      <c r="D82" s="46" t="str">
        <f>IF(ISBLANK(Table1[[#This Row],[Hrly Staff only Bank Hol hrly rate 1]]),"",Table1[[#This Row],[Hrly Staff only Bank Hol hrly rate 1]])</f>
        <v/>
      </c>
      <c r="E82" s="46" t="str">
        <f>IF(ISBLANK(Table1[[#This Row],[Hrly Staff only Bank Hol hrly rate 2]]),"",Table1[[#This Row],[Hrly Staff only Bank Hol hrly rate 2]])</f>
        <v/>
      </c>
      <c r="F82" s="22" t="str">
        <f>IF(ISBLANK(Table1[[#This Row],[Per (Year /Hr)]]),"",Table1[[#This Row],[Per (Year /Hr)]])</f>
        <v/>
      </c>
      <c r="G82" s="22" t="str">
        <f>IF(ISBLANK(Table1[[#This Row],['# FTE staff in role]]),"",Table1[[#This Row],['# FTE staff in role]])</f>
        <v/>
      </c>
      <c r="H82" s="22" t="str">
        <f>IF(ISBLANK(Table1[[#This Row],[Combined hrs per week]]),"",Table1[[#This Row],[Combined hrs per week]])</f>
        <v/>
      </c>
      <c r="I82"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82" s="37" t="str">
        <f>IFERROR(IF(Table13[[#This Row],[Per]]="year","",$J$6*Table13[[#This Row],[Cohort Wage (includes BH for hrly rate staff)]]),"")</f>
        <v/>
      </c>
      <c r="K82" s="38" t="str">
        <f>IFERROR(IF(Table13[[#This Row],[Per]]="year",Table13[[#This Row],[Cohort Wage (includes BH for hrly rate staff)]]*Table13[[#This Row],['# Staff in role]],Table13[[#This Row],[Cohort Wage (includes BH for hrly rate staff)]]+Table13[[#This Row],[Hrly staff AL acrual]]),"")</f>
        <v/>
      </c>
    </row>
    <row r="83" spans="1:11" x14ac:dyDescent="0.35">
      <c r="A83" s="22" t="str">
        <f>IF(ISBLANK(Table1[[#This Row],[Role]]),"",Table1[[#This Row],[Role]])</f>
        <v/>
      </c>
      <c r="B83" s="22" t="str">
        <f>IF(ISBLANK(Table1[[#This Row],[Role type]]),"",Table1[[#This Row],[Role type]])</f>
        <v/>
      </c>
      <c r="C83" s="46" t="str">
        <f>IF(ISBLANK(Table1[[#This Row],[Rate]]),"",Table1[[#This Row],[Rate]])</f>
        <v/>
      </c>
      <c r="D83" s="46" t="str">
        <f>IF(ISBLANK(Table1[[#This Row],[Hrly Staff only Bank Hol hrly rate 1]]),"",Table1[[#This Row],[Hrly Staff only Bank Hol hrly rate 1]])</f>
        <v/>
      </c>
      <c r="E83" s="46" t="str">
        <f>IF(ISBLANK(Table1[[#This Row],[Hrly Staff only Bank Hol hrly rate 2]]),"",Table1[[#This Row],[Hrly Staff only Bank Hol hrly rate 2]])</f>
        <v/>
      </c>
      <c r="F83" s="22" t="str">
        <f>IF(ISBLANK(Table1[[#This Row],[Per (Year /Hr)]]),"",Table1[[#This Row],[Per (Year /Hr)]])</f>
        <v/>
      </c>
      <c r="G83" s="22" t="str">
        <f>IF(ISBLANK(Table1[[#This Row],['# FTE staff in role]]),"",Table1[[#This Row],['# FTE staff in role]])</f>
        <v/>
      </c>
      <c r="H83" s="22" t="str">
        <f>IF(ISBLANK(Table1[[#This Row],[Combined hrs per week]]),"",Table1[[#This Row],[Combined hrs per week]])</f>
        <v/>
      </c>
      <c r="I83"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83" s="37" t="str">
        <f>IFERROR(IF(Table13[[#This Row],[Per]]="year","",$J$6*Table13[[#This Row],[Cohort Wage (includes BH for hrly rate staff)]]),"")</f>
        <v/>
      </c>
      <c r="K83" s="38" t="str">
        <f>IFERROR(IF(Table13[[#This Row],[Per]]="year",Table13[[#This Row],[Cohort Wage (includes BH for hrly rate staff)]]*Table13[[#This Row],['# Staff in role]],Table13[[#This Row],[Cohort Wage (includes BH for hrly rate staff)]]+Table13[[#This Row],[Hrly staff AL acrual]]),"")</f>
        <v/>
      </c>
    </row>
    <row r="84" spans="1:11" x14ac:dyDescent="0.35">
      <c r="A84" s="22" t="str">
        <f>IF(ISBLANK(Table1[[#This Row],[Role]]),"",Table1[[#This Row],[Role]])</f>
        <v/>
      </c>
      <c r="B84" s="22" t="str">
        <f>IF(ISBLANK(Table1[[#This Row],[Role type]]),"",Table1[[#This Row],[Role type]])</f>
        <v/>
      </c>
      <c r="C84" s="46" t="str">
        <f>IF(ISBLANK(Table1[[#This Row],[Rate]]),"",Table1[[#This Row],[Rate]])</f>
        <v/>
      </c>
      <c r="D84" s="46" t="str">
        <f>IF(ISBLANK(Table1[[#This Row],[Hrly Staff only Bank Hol hrly rate 1]]),"",Table1[[#This Row],[Hrly Staff only Bank Hol hrly rate 1]])</f>
        <v/>
      </c>
      <c r="E84" s="46" t="str">
        <f>IF(ISBLANK(Table1[[#This Row],[Hrly Staff only Bank Hol hrly rate 2]]),"",Table1[[#This Row],[Hrly Staff only Bank Hol hrly rate 2]])</f>
        <v/>
      </c>
      <c r="F84" s="22" t="str">
        <f>IF(ISBLANK(Table1[[#This Row],[Per (Year /Hr)]]),"",Table1[[#This Row],[Per (Year /Hr)]])</f>
        <v/>
      </c>
      <c r="G84" s="22" t="str">
        <f>IF(ISBLANK(Table1[[#This Row],['# FTE staff in role]]),"",Table1[[#This Row],['# FTE staff in role]])</f>
        <v/>
      </c>
      <c r="H84" s="22" t="str">
        <f>IF(ISBLANK(Table1[[#This Row],[Combined hrs per week]]),"",Table1[[#This Row],[Combined hrs per week]])</f>
        <v/>
      </c>
      <c r="I84"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84" s="37" t="str">
        <f>IFERROR(IF(Table13[[#This Row],[Per]]="year","",$J$6*Table13[[#This Row],[Cohort Wage (includes BH for hrly rate staff)]]),"")</f>
        <v/>
      </c>
      <c r="K84" s="38" t="str">
        <f>IFERROR(IF(Table13[[#This Row],[Per]]="year",Table13[[#This Row],[Cohort Wage (includes BH for hrly rate staff)]]*Table13[[#This Row],['# Staff in role]],Table13[[#This Row],[Cohort Wage (includes BH for hrly rate staff)]]+Table13[[#This Row],[Hrly staff AL acrual]]),"")</f>
        <v/>
      </c>
    </row>
    <row r="85" spans="1:11" x14ac:dyDescent="0.35">
      <c r="A85" s="22" t="str">
        <f>IF(ISBLANK(Table1[[#This Row],[Role]]),"",Table1[[#This Row],[Role]])</f>
        <v/>
      </c>
      <c r="B85" s="22" t="str">
        <f>IF(ISBLANK(Table1[[#This Row],[Role type]]),"",Table1[[#This Row],[Role type]])</f>
        <v/>
      </c>
      <c r="C85" s="46" t="str">
        <f>IF(ISBLANK(Table1[[#This Row],[Rate]]),"",Table1[[#This Row],[Rate]])</f>
        <v/>
      </c>
      <c r="D85" s="46" t="str">
        <f>IF(ISBLANK(Table1[[#This Row],[Hrly Staff only Bank Hol hrly rate 1]]),"",Table1[[#This Row],[Hrly Staff only Bank Hol hrly rate 1]])</f>
        <v/>
      </c>
      <c r="E85" s="46" t="str">
        <f>IF(ISBLANK(Table1[[#This Row],[Hrly Staff only Bank Hol hrly rate 2]]),"",Table1[[#This Row],[Hrly Staff only Bank Hol hrly rate 2]])</f>
        <v/>
      </c>
      <c r="F85" s="22" t="str">
        <f>IF(ISBLANK(Table1[[#This Row],[Per (Year /Hr)]]),"",Table1[[#This Row],[Per (Year /Hr)]])</f>
        <v/>
      </c>
      <c r="G85" s="22" t="str">
        <f>IF(ISBLANK(Table1[[#This Row],['# FTE staff in role]]),"",Table1[[#This Row],['# FTE staff in role]])</f>
        <v/>
      </c>
      <c r="H85" s="22" t="str">
        <f>IF(ISBLANK(Table1[[#This Row],[Combined hrs per week]]),"",Table1[[#This Row],[Combined hrs per week]])</f>
        <v/>
      </c>
      <c r="I85"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85" s="37" t="str">
        <f>IFERROR(IF(Table13[[#This Row],[Per]]="year","",$J$6*Table13[[#This Row],[Cohort Wage (includes BH for hrly rate staff)]]),"")</f>
        <v/>
      </c>
      <c r="K85" s="38" t="str">
        <f>IFERROR(IF(Table13[[#This Row],[Per]]="year",Table13[[#This Row],[Cohort Wage (includes BH for hrly rate staff)]]*Table13[[#This Row],['# Staff in role]],Table13[[#This Row],[Cohort Wage (includes BH for hrly rate staff)]]+Table13[[#This Row],[Hrly staff AL acrual]]),"")</f>
        <v/>
      </c>
    </row>
    <row r="86" spans="1:11" x14ac:dyDescent="0.35">
      <c r="A86" s="22" t="str">
        <f>IF(ISBLANK(Table1[[#This Row],[Role]]),"",Table1[[#This Row],[Role]])</f>
        <v/>
      </c>
      <c r="B86" s="22" t="str">
        <f>IF(ISBLANK(Table1[[#This Row],[Role type]]),"",Table1[[#This Row],[Role type]])</f>
        <v/>
      </c>
      <c r="C86" s="46" t="str">
        <f>IF(ISBLANK(Table1[[#This Row],[Rate]]),"",Table1[[#This Row],[Rate]])</f>
        <v/>
      </c>
      <c r="D86" s="46" t="str">
        <f>IF(ISBLANK(Table1[[#This Row],[Hrly Staff only Bank Hol hrly rate 1]]),"",Table1[[#This Row],[Hrly Staff only Bank Hol hrly rate 1]])</f>
        <v/>
      </c>
      <c r="E86" s="46" t="str">
        <f>IF(ISBLANK(Table1[[#This Row],[Hrly Staff only Bank Hol hrly rate 2]]),"",Table1[[#This Row],[Hrly Staff only Bank Hol hrly rate 2]])</f>
        <v/>
      </c>
      <c r="F86" s="22" t="str">
        <f>IF(ISBLANK(Table1[[#This Row],[Per (Year /Hr)]]),"",Table1[[#This Row],[Per (Year /Hr)]])</f>
        <v/>
      </c>
      <c r="G86" s="22" t="str">
        <f>IF(ISBLANK(Table1[[#This Row],['# FTE staff in role]]),"",Table1[[#This Row],['# FTE staff in role]])</f>
        <v/>
      </c>
      <c r="H86" s="22" t="str">
        <f>IF(ISBLANK(Table1[[#This Row],[Combined hrs per week]]),"",Table1[[#This Row],[Combined hrs per week]])</f>
        <v/>
      </c>
      <c r="I86"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86" s="37" t="str">
        <f>IFERROR(IF(Table13[[#This Row],[Per]]="year","",$J$6*Table13[[#This Row],[Cohort Wage (includes BH for hrly rate staff)]]),"")</f>
        <v/>
      </c>
      <c r="K86" s="38" t="str">
        <f>IFERROR(IF(Table13[[#This Row],[Per]]="year",Table13[[#This Row],[Cohort Wage (includes BH for hrly rate staff)]]*Table13[[#This Row],['# Staff in role]],Table13[[#This Row],[Cohort Wage (includes BH for hrly rate staff)]]+Table13[[#This Row],[Hrly staff AL acrual]]),"")</f>
        <v/>
      </c>
    </row>
    <row r="87" spans="1:11" x14ac:dyDescent="0.35">
      <c r="A87" s="22" t="str">
        <f>IF(ISBLANK(Table1[[#This Row],[Role]]),"",Table1[[#This Row],[Role]])</f>
        <v/>
      </c>
      <c r="B87" s="22" t="str">
        <f>IF(ISBLANK(Table1[[#This Row],[Role type]]),"",Table1[[#This Row],[Role type]])</f>
        <v/>
      </c>
      <c r="C87" s="46" t="str">
        <f>IF(ISBLANK(Table1[[#This Row],[Rate]]),"",Table1[[#This Row],[Rate]])</f>
        <v/>
      </c>
      <c r="D87" s="46" t="str">
        <f>IF(ISBLANK(Table1[[#This Row],[Hrly Staff only Bank Hol hrly rate 1]]),"",Table1[[#This Row],[Hrly Staff only Bank Hol hrly rate 1]])</f>
        <v/>
      </c>
      <c r="E87" s="46" t="str">
        <f>IF(ISBLANK(Table1[[#This Row],[Hrly Staff only Bank Hol hrly rate 2]]),"",Table1[[#This Row],[Hrly Staff only Bank Hol hrly rate 2]])</f>
        <v/>
      </c>
      <c r="F87" s="22" t="str">
        <f>IF(ISBLANK(Table1[[#This Row],[Per (Year /Hr)]]),"",Table1[[#This Row],[Per (Year /Hr)]])</f>
        <v/>
      </c>
      <c r="G87" s="22" t="str">
        <f>IF(ISBLANK(Table1[[#This Row],['# FTE staff in role]]),"",Table1[[#This Row],['# FTE staff in role]])</f>
        <v/>
      </c>
      <c r="H87" s="22" t="str">
        <f>IF(ISBLANK(Table1[[#This Row],[Combined hrs per week]]),"",Table1[[#This Row],[Combined hrs per week]])</f>
        <v/>
      </c>
      <c r="I87"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87" s="37" t="str">
        <f>IFERROR(IF(Table13[[#This Row],[Per]]="year","",$J$6*Table13[[#This Row],[Cohort Wage (includes BH for hrly rate staff)]]),"")</f>
        <v/>
      </c>
      <c r="K87" s="38" t="str">
        <f>IFERROR(IF(Table13[[#This Row],[Per]]="year",Table13[[#This Row],[Cohort Wage (includes BH for hrly rate staff)]]*Table13[[#This Row],['# Staff in role]],Table13[[#This Row],[Cohort Wage (includes BH for hrly rate staff)]]+Table13[[#This Row],[Hrly staff AL acrual]]),"")</f>
        <v/>
      </c>
    </row>
    <row r="88" spans="1:11" x14ac:dyDescent="0.35">
      <c r="A88" s="22" t="str">
        <f>IF(ISBLANK(Table1[[#This Row],[Role]]),"",Table1[[#This Row],[Role]])</f>
        <v/>
      </c>
      <c r="B88" s="22" t="str">
        <f>IF(ISBLANK(Table1[[#This Row],[Role type]]),"",Table1[[#This Row],[Role type]])</f>
        <v/>
      </c>
      <c r="C88" s="46" t="str">
        <f>IF(ISBLANK(Table1[[#This Row],[Rate]]),"",Table1[[#This Row],[Rate]])</f>
        <v/>
      </c>
      <c r="D88" s="46" t="str">
        <f>IF(ISBLANK(Table1[[#This Row],[Hrly Staff only Bank Hol hrly rate 1]]),"",Table1[[#This Row],[Hrly Staff only Bank Hol hrly rate 1]])</f>
        <v/>
      </c>
      <c r="E88" s="46" t="str">
        <f>IF(ISBLANK(Table1[[#This Row],[Hrly Staff only Bank Hol hrly rate 2]]),"",Table1[[#This Row],[Hrly Staff only Bank Hol hrly rate 2]])</f>
        <v/>
      </c>
      <c r="F88" s="22" t="str">
        <f>IF(ISBLANK(Table1[[#This Row],[Per (Year /Hr)]]),"",Table1[[#This Row],[Per (Year /Hr)]])</f>
        <v/>
      </c>
      <c r="G88" s="22" t="str">
        <f>IF(ISBLANK(Table1[[#This Row],['# FTE staff in role]]),"",Table1[[#This Row],['# FTE staff in role]])</f>
        <v/>
      </c>
      <c r="H88" s="22" t="str">
        <f>IF(ISBLANK(Table1[[#This Row],[Combined hrs per week]]),"",Table1[[#This Row],[Combined hrs per week]])</f>
        <v/>
      </c>
      <c r="I88" s="36" t="str">
        <f>IFERROR(IF(Table13[[#This Row],[Per]]="year",Table13[[#This Row],['# Staff in role]]*Table13[[#This Row],[Rate]],SUM(($K$3*24*(Table13[[#This Row],[Combined hrs per week]]/7))*Table13[[#This Row],[Rate]],($J$4*24*(Table13[[#This Row],[Combined hrs per week]]/7))*Table13[[#This Row],[Hrly Staf only Bank Hol hrly rate 1]],($J$5*24*(Table13[[#This Row],[Combined hrs per week]]/7))*Table13[[#This Row],[Hrly Staf only Bank Hol hrly rate 2]])),"")</f>
        <v/>
      </c>
      <c r="J88" s="37" t="str">
        <f>IFERROR(IF(Table13[[#This Row],[Per]]="year","",$J$6*Table13[[#This Row],[Cohort Wage (includes BH for hrly rate staff)]]),"")</f>
        <v/>
      </c>
      <c r="K88" s="38" t="str">
        <f>IFERROR(IF(Table13[[#This Row],[Per]]="year",Table13[[#This Row],[Cohort Wage (includes BH for hrly rate staff)]]*Table13[[#This Row],['# Staff in role]],Table13[[#This Row],[Cohort Wage (includes BH for hrly rate staff)]]+Table13[[#This Row],[Hrly staff AL acrual]]),"")</f>
        <v/>
      </c>
    </row>
    <row r="89" spans="1:11" x14ac:dyDescent="0.35">
      <c r="A89" s="25"/>
      <c r="B89" s="7"/>
      <c r="C89" s="26"/>
      <c r="D89" s="26"/>
      <c r="E89" s="26"/>
      <c r="F89" s="27"/>
      <c r="G89" s="21"/>
      <c r="H89" s="21"/>
      <c r="I89" s="21"/>
      <c r="J89" s="21"/>
    </row>
    <row r="90" spans="1:11" x14ac:dyDescent="0.35">
      <c r="A90" s="25"/>
      <c r="B90" s="7"/>
      <c r="C90" s="26"/>
      <c r="D90" s="26"/>
      <c r="E90" s="26"/>
      <c r="F90" s="27"/>
      <c r="G90" s="21"/>
      <c r="H90" s="21"/>
      <c r="I90" s="21"/>
      <c r="J90" s="21"/>
    </row>
    <row r="91" spans="1:11" x14ac:dyDescent="0.35">
      <c r="A91" s="25"/>
      <c r="B91" s="7"/>
      <c r="C91" s="26"/>
      <c r="D91" s="26"/>
      <c r="E91" s="26"/>
      <c r="F91" s="27"/>
      <c r="G91" s="21"/>
      <c r="H91" s="21"/>
      <c r="I91" s="21"/>
      <c r="J91" s="21"/>
    </row>
    <row r="92" spans="1:11" x14ac:dyDescent="0.35">
      <c r="A92" s="25"/>
      <c r="B92" s="7"/>
      <c r="C92" s="26"/>
      <c r="D92" s="26"/>
      <c r="E92" s="26"/>
      <c r="F92" s="27"/>
      <c r="G92" s="21"/>
      <c r="H92" s="21"/>
      <c r="I92" s="21"/>
      <c r="J92" s="21"/>
    </row>
    <row r="93" spans="1:11" x14ac:dyDescent="0.35">
      <c r="A93" s="25"/>
      <c r="B93" s="7"/>
      <c r="C93" s="26"/>
      <c r="D93" s="26"/>
      <c r="E93" s="26"/>
      <c r="F93" s="27"/>
      <c r="G93" s="21"/>
      <c r="H93" s="21"/>
      <c r="I93" s="21"/>
      <c r="J93" s="21"/>
    </row>
    <row r="94" spans="1:11" x14ac:dyDescent="0.35">
      <c r="A94" s="25"/>
      <c r="B94" s="7"/>
      <c r="C94" s="26"/>
      <c r="D94" s="26"/>
      <c r="E94" s="26"/>
      <c r="F94" s="27"/>
      <c r="G94" s="21"/>
      <c r="H94" s="21"/>
      <c r="I94" s="21"/>
      <c r="J94" s="21"/>
    </row>
    <row r="95" spans="1:11" x14ac:dyDescent="0.35">
      <c r="A95" s="25"/>
      <c r="B95" s="7"/>
      <c r="C95" s="26"/>
      <c r="D95" s="26"/>
      <c r="E95" s="26"/>
      <c r="F95" s="27"/>
      <c r="G95" s="21"/>
      <c r="H95" s="21"/>
      <c r="I95" s="21"/>
      <c r="J95" s="21"/>
    </row>
    <row r="96" spans="1:11" x14ac:dyDescent="0.35">
      <c r="A96" s="25"/>
      <c r="B96" s="7"/>
      <c r="C96" s="26"/>
      <c r="D96" s="26"/>
      <c r="E96" s="26"/>
      <c r="F96" s="27"/>
      <c r="G96" s="21"/>
      <c r="H96" s="21"/>
      <c r="I96" s="21"/>
      <c r="J96" s="21"/>
    </row>
    <row r="97" spans="1:10" x14ac:dyDescent="0.35">
      <c r="A97" s="25"/>
      <c r="B97" s="7"/>
      <c r="C97" s="26"/>
      <c r="D97" s="26"/>
      <c r="E97" s="26"/>
      <c r="F97" s="27"/>
      <c r="G97" s="21"/>
      <c r="H97" s="21"/>
      <c r="I97" s="21"/>
      <c r="J97" s="21"/>
    </row>
    <row r="98" spans="1:10" x14ac:dyDescent="0.35">
      <c r="A98" s="25"/>
      <c r="B98" s="7"/>
      <c r="C98" s="26"/>
      <c r="D98" s="26"/>
      <c r="E98" s="26"/>
      <c r="F98" s="27"/>
      <c r="G98" s="21"/>
      <c r="H98" s="21"/>
      <c r="I98" s="21"/>
      <c r="J98" s="21"/>
    </row>
    <row r="99" spans="1:10" x14ac:dyDescent="0.35">
      <c r="A99" s="25"/>
      <c r="B99" s="7"/>
      <c r="C99" s="26"/>
      <c r="D99" s="26"/>
      <c r="E99" s="26"/>
      <c r="F99" s="27"/>
      <c r="G99" s="21"/>
      <c r="H99" s="21"/>
      <c r="I99" s="21"/>
      <c r="J99" s="21"/>
    </row>
    <row r="100" spans="1:10" x14ac:dyDescent="0.35">
      <c r="A100" s="25"/>
      <c r="B100" s="7"/>
      <c r="C100" s="26"/>
      <c r="D100" s="26"/>
      <c r="E100" s="26"/>
      <c r="F100" s="27"/>
      <c r="G100" s="21"/>
      <c r="H100" s="21"/>
      <c r="I100" s="21"/>
      <c r="J100" s="21"/>
    </row>
    <row r="101" spans="1:10" x14ac:dyDescent="0.35">
      <c r="A101" s="25"/>
      <c r="B101" s="7"/>
      <c r="C101" s="26"/>
      <c r="D101" s="26"/>
      <c r="E101" s="26"/>
      <c r="F101" s="27"/>
      <c r="G101" s="21"/>
      <c r="H101" s="21"/>
      <c r="I101" s="21"/>
      <c r="J101" s="21"/>
    </row>
    <row r="102" spans="1:10" x14ac:dyDescent="0.35">
      <c r="A102" s="25"/>
      <c r="B102" s="7"/>
      <c r="C102" s="26"/>
      <c r="D102" s="26"/>
      <c r="E102" s="26"/>
      <c r="F102" s="27"/>
      <c r="G102" s="21"/>
      <c r="H102" s="21"/>
      <c r="I102" s="21"/>
      <c r="J102" s="21"/>
    </row>
    <row r="103" spans="1:10" x14ac:dyDescent="0.35">
      <c r="A103" s="25"/>
      <c r="B103" s="7"/>
      <c r="C103" s="26"/>
      <c r="D103" s="26"/>
      <c r="E103" s="26"/>
      <c r="F103" s="27"/>
      <c r="G103" s="21"/>
      <c r="H103" s="21"/>
      <c r="I103" s="21"/>
      <c r="J103" s="21"/>
    </row>
    <row r="104" spans="1:10" x14ac:dyDescent="0.35">
      <c r="A104" s="25"/>
      <c r="B104" s="7"/>
      <c r="C104" s="26"/>
      <c r="D104" s="26"/>
      <c r="E104" s="26"/>
      <c r="F104" s="27"/>
      <c r="G104" s="21"/>
      <c r="H104" s="21"/>
      <c r="I104" s="21"/>
      <c r="J104" s="21"/>
    </row>
    <row r="105" spans="1:10" x14ac:dyDescent="0.35">
      <c r="A105" s="25"/>
      <c r="B105" s="7"/>
      <c r="C105" s="26"/>
      <c r="D105" s="26"/>
      <c r="E105" s="26"/>
      <c r="F105" s="27"/>
      <c r="G105" s="21"/>
      <c r="H105" s="21"/>
      <c r="I105" s="21"/>
      <c r="J105" s="21"/>
    </row>
    <row r="106" spans="1:10" x14ac:dyDescent="0.35">
      <c r="A106" s="25"/>
      <c r="B106" s="7"/>
      <c r="C106" s="26"/>
      <c r="D106" s="26"/>
      <c r="E106" s="26"/>
      <c r="F106" s="27"/>
      <c r="G106" s="21"/>
      <c r="H106" s="21"/>
      <c r="I106" s="21"/>
      <c r="J106" s="21"/>
    </row>
    <row r="107" spans="1:10" x14ac:dyDescent="0.35">
      <c r="A107" s="25"/>
      <c r="B107" s="7"/>
      <c r="C107" s="26"/>
      <c r="D107" s="26"/>
      <c r="E107" s="26"/>
      <c r="F107" s="27"/>
      <c r="G107" s="21"/>
      <c r="H107" s="21"/>
      <c r="I107" s="21"/>
      <c r="J107" s="21"/>
    </row>
    <row r="108" spans="1:10" x14ac:dyDescent="0.35">
      <c r="A108" s="25"/>
      <c r="B108" s="7"/>
      <c r="C108" s="26"/>
      <c r="D108" s="26"/>
      <c r="E108" s="26"/>
      <c r="F108" s="27"/>
      <c r="G108" s="21"/>
      <c r="H108" s="21"/>
      <c r="I108" s="21"/>
      <c r="J108" s="21"/>
    </row>
    <row r="109" spans="1:10" x14ac:dyDescent="0.35">
      <c r="A109" s="25"/>
      <c r="B109" s="7"/>
      <c r="C109" s="26"/>
      <c r="D109" s="26"/>
      <c r="E109" s="26"/>
      <c r="F109" s="27"/>
      <c r="G109" s="21"/>
      <c r="H109" s="21"/>
      <c r="I109" s="21"/>
      <c r="J109" s="21"/>
    </row>
    <row r="110" spans="1:10" x14ac:dyDescent="0.35">
      <c r="A110" s="25"/>
      <c r="B110" s="7"/>
      <c r="C110" s="26"/>
      <c r="D110" s="26"/>
      <c r="E110" s="26"/>
      <c r="F110" s="27"/>
      <c r="G110" s="21"/>
      <c r="H110" s="21"/>
      <c r="I110" s="21"/>
      <c r="J110" s="21"/>
    </row>
    <row r="111" spans="1:10" x14ac:dyDescent="0.35">
      <c r="A111" s="25"/>
      <c r="B111" s="7"/>
      <c r="C111" s="26"/>
      <c r="D111" s="26"/>
      <c r="E111" s="26"/>
      <c r="F111" s="27"/>
      <c r="G111" s="21"/>
      <c r="H111" s="21"/>
      <c r="I111" s="21"/>
      <c r="J111" s="21"/>
    </row>
    <row r="112" spans="1:10" x14ac:dyDescent="0.35">
      <c r="A112" s="25"/>
      <c r="B112" s="7"/>
      <c r="C112" s="26"/>
      <c r="D112" s="26"/>
      <c r="E112" s="26"/>
      <c r="F112" s="27"/>
      <c r="G112" s="21"/>
      <c r="H112" s="21"/>
      <c r="I112" s="21"/>
      <c r="J112" s="21"/>
    </row>
    <row r="113" spans="1:10" x14ac:dyDescent="0.35">
      <c r="A113" s="25"/>
      <c r="B113" s="7"/>
      <c r="C113" s="26"/>
      <c r="D113" s="26"/>
      <c r="E113" s="26"/>
      <c r="F113" s="27"/>
      <c r="G113" s="21"/>
      <c r="H113" s="21"/>
      <c r="I113" s="21"/>
      <c r="J113" s="21"/>
    </row>
    <row r="114" spans="1:10" x14ac:dyDescent="0.35">
      <c r="A114" s="25"/>
      <c r="B114" s="7"/>
      <c r="C114" s="26"/>
      <c r="D114" s="26"/>
      <c r="E114" s="26"/>
      <c r="F114" s="27"/>
      <c r="G114" s="21"/>
      <c r="H114" s="21"/>
      <c r="I114" s="21"/>
      <c r="J114" s="21"/>
    </row>
    <row r="115" spans="1:10" x14ac:dyDescent="0.35">
      <c r="A115" s="25"/>
      <c r="B115" s="7"/>
      <c r="C115" s="26"/>
      <c r="D115" s="26"/>
      <c r="E115" s="26"/>
      <c r="F115" s="27"/>
      <c r="G115" s="21"/>
      <c r="H115" s="21"/>
      <c r="I115" s="21"/>
      <c r="J115" s="21"/>
    </row>
    <row r="116" spans="1:10" x14ac:dyDescent="0.35">
      <c r="A116" s="25"/>
      <c r="B116" s="7"/>
      <c r="C116" s="26"/>
      <c r="D116" s="26"/>
      <c r="E116" s="26"/>
      <c r="F116" s="27"/>
      <c r="G116" s="21"/>
      <c r="H116" s="21"/>
      <c r="I116" s="21"/>
      <c r="J116" s="21"/>
    </row>
    <row r="117" spans="1:10" x14ac:dyDescent="0.35">
      <c r="A117" s="25"/>
      <c r="B117" s="7"/>
      <c r="C117" s="26"/>
      <c r="D117" s="26"/>
      <c r="E117" s="26"/>
      <c r="F117" s="27"/>
      <c r="G117" s="21"/>
      <c r="H117" s="21"/>
      <c r="I117" s="21"/>
      <c r="J117" s="21"/>
    </row>
    <row r="118" spans="1:10" x14ac:dyDescent="0.35">
      <c r="A118" s="25"/>
      <c r="B118" s="7"/>
      <c r="C118" s="26"/>
      <c r="D118" s="26"/>
      <c r="E118" s="26"/>
      <c r="F118" s="27"/>
      <c r="G118" s="21"/>
      <c r="H118" s="21"/>
      <c r="I118" s="21"/>
      <c r="J118" s="21"/>
    </row>
    <row r="119" spans="1:10" x14ac:dyDescent="0.35">
      <c r="A119" s="25"/>
      <c r="B119" s="7"/>
      <c r="C119" s="26"/>
      <c r="D119" s="26"/>
      <c r="E119" s="26"/>
      <c r="F119" s="27"/>
      <c r="G119" s="21"/>
      <c r="H119" s="21"/>
      <c r="I119" s="21"/>
      <c r="J119" s="21"/>
    </row>
    <row r="120" spans="1:10" x14ac:dyDescent="0.35">
      <c r="A120" s="25"/>
      <c r="B120" s="7"/>
      <c r="C120" s="26"/>
      <c r="D120" s="26"/>
      <c r="E120" s="26"/>
      <c r="F120" s="27"/>
      <c r="G120" s="21"/>
      <c r="H120" s="21"/>
      <c r="I120" s="21"/>
      <c r="J120" s="21"/>
    </row>
    <row r="121" spans="1:10" x14ac:dyDescent="0.35">
      <c r="A121" s="25"/>
      <c r="B121" s="7"/>
      <c r="C121" s="26"/>
      <c r="D121" s="26"/>
      <c r="E121" s="26"/>
      <c r="F121" s="27"/>
      <c r="G121" s="21"/>
      <c r="H121" s="21"/>
      <c r="I121" s="21"/>
      <c r="J121" s="21"/>
    </row>
    <row r="122" spans="1:10" x14ac:dyDescent="0.35">
      <c r="A122" s="25"/>
      <c r="B122" s="7"/>
      <c r="C122" s="26"/>
      <c r="D122" s="26"/>
      <c r="E122" s="26"/>
      <c r="F122" s="27"/>
      <c r="G122" s="21"/>
      <c r="H122" s="21"/>
      <c r="I122" s="21"/>
      <c r="J122" s="21"/>
    </row>
    <row r="123" spans="1:10" x14ac:dyDescent="0.35">
      <c r="A123" s="25"/>
      <c r="B123" s="7"/>
      <c r="C123" s="26"/>
      <c r="D123" s="26"/>
      <c r="E123" s="26"/>
      <c r="F123" s="27"/>
      <c r="G123" s="21"/>
      <c r="H123" s="21"/>
      <c r="I123" s="21"/>
      <c r="J123" s="21"/>
    </row>
    <row r="124" spans="1:10" x14ac:dyDescent="0.35">
      <c r="A124" s="25"/>
      <c r="B124" s="7"/>
      <c r="C124" s="26"/>
      <c r="D124" s="26"/>
      <c r="E124" s="26"/>
      <c r="F124" s="27"/>
      <c r="G124" s="21"/>
      <c r="H124" s="21"/>
      <c r="I124" s="21"/>
      <c r="J124" s="21"/>
    </row>
    <row r="125" spans="1:10" x14ac:dyDescent="0.35">
      <c r="A125" s="25"/>
      <c r="B125" s="7"/>
      <c r="C125" s="26"/>
      <c r="D125" s="26"/>
      <c r="E125" s="26"/>
      <c r="F125" s="27"/>
      <c r="G125" s="21"/>
      <c r="H125" s="21"/>
      <c r="I125" s="21"/>
      <c r="J125" s="21"/>
    </row>
    <row r="126" spans="1:10" x14ac:dyDescent="0.35">
      <c r="A126" s="25"/>
      <c r="B126" s="7"/>
      <c r="C126" s="26"/>
      <c r="D126" s="26"/>
      <c r="E126" s="26"/>
      <c r="F126" s="27"/>
      <c r="G126" s="21"/>
      <c r="H126" s="21"/>
      <c r="I126" s="21"/>
      <c r="J126" s="21"/>
    </row>
    <row r="127" spans="1:10" x14ac:dyDescent="0.35">
      <c r="A127" s="25"/>
      <c r="B127" s="7"/>
      <c r="C127" s="26"/>
      <c r="D127" s="26"/>
      <c r="E127" s="26"/>
      <c r="F127" s="27"/>
      <c r="G127" s="21"/>
      <c r="H127" s="21"/>
      <c r="I127" s="21"/>
      <c r="J127" s="21"/>
    </row>
    <row r="128" spans="1:10" x14ac:dyDescent="0.35">
      <c r="A128" s="25"/>
      <c r="B128" s="7"/>
      <c r="C128" s="26"/>
      <c r="D128" s="26"/>
      <c r="E128" s="26"/>
      <c r="F128" s="27"/>
      <c r="G128" s="21"/>
      <c r="H128" s="21"/>
      <c r="I128" s="21"/>
      <c r="J128" s="21"/>
    </row>
    <row r="129" spans="1:10" x14ac:dyDescent="0.35">
      <c r="A129" s="25"/>
      <c r="B129" s="7"/>
      <c r="C129" s="26"/>
      <c r="D129" s="26"/>
      <c r="E129" s="26"/>
      <c r="F129" s="27"/>
      <c r="G129" s="21"/>
      <c r="H129" s="21"/>
      <c r="I129" s="21"/>
      <c r="J129" s="21"/>
    </row>
    <row r="130" spans="1:10" x14ac:dyDescent="0.35">
      <c r="A130" s="25"/>
      <c r="B130" s="7"/>
      <c r="C130" s="26"/>
      <c r="D130" s="26"/>
      <c r="E130" s="26"/>
      <c r="F130" s="27"/>
      <c r="G130" s="21"/>
      <c r="H130" s="21"/>
      <c r="I130" s="21"/>
      <c r="J130" s="21"/>
    </row>
    <row r="131" spans="1:10" x14ac:dyDescent="0.35">
      <c r="A131" s="25"/>
      <c r="B131" s="7"/>
      <c r="C131" s="26"/>
      <c r="D131" s="26"/>
      <c r="E131" s="26"/>
      <c r="F131" s="27"/>
      <c r="G131" s="21"/>
      <c r="H131" s="21"/>
      <c r="I131" s="21"/>
      <c r="J131" s="21"/>
    </row>
    <row r="132" spans="1:10" x14ac:dyDescent="0.35">
      <c r="A132" s="25"/>
      <c r="B132" s="7"/>
      <c r="C132" s="26"/>
      <c r="D132" s="26"/>
      <c r="E132" s="26"/>
      <c r="F132" s="27"/>
      <c r="G132" s="21"/>
      <c r="H132" s="21"/>
      <c r="I132" s="21"/>
      <c r="J132" s="21"/>
    </row>
    <row r="133" spans="1:10" x14ac:dyDescent="0.35">
      <c r="A133" s="25"/>
      <c r="B133" s="7"/>
      <c r="C133" s="26"/>
      <c r="D133" s="26"/>
      <c r="E133" s="26"/>
      <c r="F133" s="27"/>
      <c r="G133" s="21"/>
      <c r="H133" s="21"/>
      <c r="I133" s="21"/>
      <c r="J133" s="21"/>
    </row>
  </sheetData>
  <mergeCells count="4">
    <mergeCell ref="H2:J2"/>
    <mergeCell ref="H3:I3"/>
    <mergeCell ref="A8:J8"/>
    <mergeCell ref="A7:E7"/>
  </mergeCells>
  <conditionalFormatting sqref="D89:E128">
    <cfRule type="expression" dxfId="175" priority="3">
      <formula>$F89="hour"</formula>
    </cfRule>
  </conditionalFormatting>
  <conditionalFormatting sqref="D89:D128">
    <cfRule type="expression" dxfId="174" priority="2">
      <formula>AND($D89&gt;0,$F89="year")</formula>
    </cfRule>
  </conditionalFormatting>
  <conditionalFormatting sqref="E89:E128">
    <cfRule type="expression" dxfId="173" priority="1">
      <formula>AND($E89&gt;0,$F89="year")</formula>
    </cfRule>
  </conditionalFormatting>
  <pageMargins left="0.25" right="0.25" top="0.75" bottom="0.75" header="0.3" footer="0.3"/>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0E45-78E5-4718-9C39-C26AB254B43D}">
  <sheetPr>
    <tabColor rgb="FFFFFF00"/>
  </sheetPr>
  <dimension ref="A1:M86"/>
  <sheetViews>
    <sheetView view="pageLayout" topLeftCell="A28" zoomScale="130" zoomScaleNormal="100" zoomScalePageLayoutView="130" workbookViewId="0">
      <selection activeCell="J40" sqref="J40:J41"/>
    </sheetView>
  </sheetViews>
  <sheetFormatPr defaultColWidth="8.69140625" defaultRowHeight="12.9" x14ac:dyDescent="0.35"/>
  <cols>
    <col min="1" max="1" width="1.61328125" style="222" customWidth="1"/>
    <col min="2" max="2" width="1.84375" style="148" customWidth="1"/>
    <col min="3" max="3" width="22.15234375" style="148" customWidth="1"/>
    <col min="4" max="7" width="17.53515625" style="148" customWidth="1"/>
    <col min="8" max="8" width="0.15234375" style="230" customWidth="1"/>
    <col min="9" max="9" width="1.15234375" style="230" customWidth="1"/>
    <col min="10" max="11" width="48.53515625" style="148" customWidth="1"/>
    <col min="12" max="12" width="0" style="148" hidden="1" customWidth="1"/>
    <col min="13" max="13" width="10.4609375" style="148" hidden="1" customWidth="1"/>
    <col min="14" max="16384" width="8.69140625" style="148"/>
  </cols>
  <sheetData>
    <row r="1" spans="1:13" ht="59.05" customHeight="1" x14ac:dyDescent="0.35">
      <c r="A1" s="220"/>
      <c r="B1" s="52"/>
      <c r="C1" s="585" t="s">
        <v>394</v>
      </c>
      <c r="D1" s="586"/>
      <c r="E1" s="586"/>
      <c r="F1" s="586"/>
      <c r="G1" s="586"/>
      <c r="H1" s="70"/>
      <c r="I1" s="70"/>
      <c r="J1" s="587"/>
      <c r="K1" s="587"/>
    </row>
    <row r="2" spans="1:13" ht="41.05" customHeight="1" x14ac:dyDescent="0.35">
      <c r="A2" s="220"/>
      <c r="B2" s="52"/>
      <c r="C2" s="588" t="s">
        <v>395</v>
      </c>
      <c r="D2" s="588"/>
      <c r="E2" s="588"/>
      <c r="F2" s="588"/>
      <c r="G2" s="588"/>
      <c r="H2" s="69"/>
      <c r="I2" s="70"/>
      <c r="J2" s="52"/>
      <c r="K2" s="52"/>
    </row>
    <row r="3" spans="1:13" ht="25.5" customHeight="1" x14ac:dyDescent="0.35">
      <c r="A3" s="220"/>
      <c r="B3" s="52"/>
      <c r="C3" s="71" t="s">
        <v>67</v>
      </c>
      <c r="D3" s="72" t="s">
        <v>68</v>
      </c>
      <c r="E3" s="438"/>
      <c r="F3" s="72" t="s">
        <v>69</v>
      </c>
      <c r="G3" s="459"/>
      <c r="H3" s="70"/>
      <c r="I3" s="70"/>
      <c r="J3" s="587"/>
      <c r="K3" s="587"/>
    </row>
    <row r="4" spans="1:13" ht="4.5" customHeight="1" x14ac:dyDescent="0.35">
      <c r="A4" s="220"/>
      <c r="B4" s="52"/>
      <c r="C4" s="73"/>
      <c r="D4" s="74"/>
      <c r="E4" s="75"/>
      <c r="F4" s="74"/>
      <c r="G4" s="75"/>
      <c r="H4" s="70"/>
      <c r="I4" s="70"/>
      <c r="J4" s="52"/>
      <c r="K4" s="52"/>
    </row>
    <row r="5" spans="1:13" ht="25.5" customHeight="1" x14ac:dyDescent="0.35">
      <c r="A5" s="220"/>
      <c r="B5" s="52"/>
      <c r="C5" s="583" t="s">
        <v>303</v>
      </c>
      <c r="D5" s="583"/>
      <c r="E5" s="381" t="s">
        <v>66</v>
      </c>
      <c r="F5" s="381" t="str">
        <f>IF(AND(ISBLANK(G3),ISBLANK('Staffing Wages'!I11)),"",IF(ISBLANK('Business Running Costs'!G3),"Change to staffing costs","User defined time period:"))</f>
        <v/>
      </c>
      <c r="G5" s="584" t="s">
        <v>304</v>
      </c>
      <c r="H5" s="50">
        <f>IF(AND((ISBLANK(E3)),(ISBLANK(G3))),0,SUM($G$3-$E$3))</f>
        <v>0</v>
      </c>
      <c r="I5" s="70"/>
      <c r="J5" s="52"/>
      <c r="K5" s="52"/>
    </row>
    <row r="6" spans="1:13" ht="13" customHeight="1" x14ac:dyDescent="0.35">
      <c r="A6" s="220"/>
      <c r="B6" s="52"/>
      <c r="C6" s="583"/>
      <c r="D6" s="583"/>
      <c r="E6" s="383" t="s">
        <v>65</v>
      </c>
      <c r="F6" s="111" t="str">
        <f>SUM($G$3-$E$3)&amp;" days"</f>
        <v>0 days</v>
      </c>
      <c r="G6" s="584"/>
      <c r="H6" s="50">
        <f>G3-E3</f>
        <v>0</v>
      </c>
      <c r="I6" s="70"/>
      <c r="J6" s="52"/>
      <c r="K6" s="52"/>
    </row>
    <row r="7" spans="1:13" s="195" customFormat="1" x14ac:dyDescent="0.35">
      <c r="A7" s="221" t="str">
        <f>G7</f>
        <v/>
      </c>
      <c r="B7" s="194"/>
      <c r="C7" s="582" t="s">
        <v>64</v>
      </c>
      <c r="D7" s="582"/>
      <c r="E7" s="196">
        <f>'Staffing Wages'!$F$6</f>
        <v>0</v>
      </c>
      <c r="F7" s="196">
        <f>('Staffing Wages'!S8/'Staffing Wages'!X3)*'Business Running Costs'!H5</f>
        <v>0</v>
      </c>
      <c r="G7" s="456" t="str">
        <f>IF(ISBLANK($G$3),"",IF(ISBLANK(F7),E7,(F7*'Staffing Wages'!$X$3/$H$5)))</f>
        <v/>
      </c>
      <c r="H7" s="192">
        <f>(E7/'Staffing Wages'!$J$3)*$H$5</f>
        <v>0</v>
      </c>
      <c r="I7" s="193" t="e">
        <f>E7-G7</f>
        <v>#VALUE!</v>
      </c>
      <c r="J7" s="195" t="s">
        <v>206</v>
      </c>
    </row>
    <row r="8" spans="1:13" s="195" customFormat="1" x14ac:dyDescent="0.35">
      <c r="A8" s="221" t="str">
        <f t="shared" ref="A8:A16" si="0">G8</f>
        <v/>
      </c>
      <c r="B8" s="194"/>
      <c r="C8" s="582" t="s">
        <v>92</v>
      </c>
      <c r="D8" s="582"/>
      <c r="E8" s="426"/>
      <c r="F8" s="426"/>
      <c r="G8" s="354" t="str">
        <f>IF(ISBLANK($G$3),"",IF(ISBLANK(F8),E8,(F8*'Staffing Wages'!$X$3/$H$5)))</f>
        <v/>
      </c>
      <c r="H8" s="192">
        <f>(E8/'Staffing Wages'!$J$3)*$H$5</f>
        <v>0</v>
      </c>
      <c r="I8" s="193" t="e">
        <f>E8-G8</f>
        <v>#VALUE!</v>
      </c>
      <c r="J8" s="589" t="s">
        <v>84</v>
      </c>
      <c r="K8" s="589"/>
      <c r="L8" s="195" t="s">
        <v>345</v>
      </c>
      <c r="M8" s="365">
        <f>SUM(E10:E16,E21:E25,E49:E65)</f>
        <v>0</v>
      </c>
    </row>
    <row r="9" spans="1:13" s="195" customFormat="1" ht="38.6" customHeight="1" x14ac:dyDescent="0.35">
      <c r="A9" s="221" t="str">
        <f t="shared" si="0"/>
        <v/>
      </c>
      <c r="B9" s="194"/>
      <c r="C9" s="582" t="s">
        <v>63</v>
      </c>
      <c r="D9" s="582"/>
      <c r="E9" s="426"/>
      <c r="F9" s="426"/>
      <c r="G9" s="354" t="str">
        <f>IF(ISBLANK($G$3),"",IF(ISBLANK(F9),E9,(F9*'Staffing Wages'!$X$3/$H$5)))</f>
        <v/>
      </c>
      <c r="H9" s="192">
        <f>(E9/'Staffing Wages'!$J$3)*$H$5</f>
        <v>0</v>
      </c>
      <c r="I9" s="193" t="e">
        <f t="shared" ref="I9:I16" si="1">E9-G9</f>
        <v>#VALUE!</v>
      </c>
      <c r="J9" s="564"/>
      <c r="K9" s="564"/>
      <c r="L9" s="195" t="s">
        <v>346</v>
      </c>
      <c r="M9" s="366">
        <f>SUM(E8:E9,E20,E30,E34:E45)</f>
        <v>0</v>
      </c>
    </row>
    <row r="10" spans="1:13" s="195" customFormat="1" x14ac:dyDescent="0.35">
      <c r="A10" s="221" t="str">
        <f t="shared" si="0"/>
        <v/>
      </c>
      <c r="B10" s="194"/>
      <c r="C10" s="582" t="s">
        <v>93</v>
      </c>
      <c r="D10" s="582"/>
      <c r="E10" s="426"/>
      <c r="F10" s="426"/>
      <c r="G10" s="354" t="str">
        <f>IF(ISBLANK($G$3),"",IF(ISBLANK(F10),E10,(F10*'Staffing Wages'!$X$3/$H$5)))</f>
        <v/>
      </c>
      <c r="H10" s="192">
        <f>(E10/'Staffing Wages'!$J$3)*$H$5</f>
        <v>0</v>
      </c>
      <c r="I10" s="193" t="e">
        <f t="shared" si="1"/>
        <v>#VALUE!</v>
      </c>
      <c r="J10" s="434"/>
      <c r="K10" s="434"/>
    </row>
    <row r="11" spans="1:13" ht="13" customHeight="1" x14ac:dyDescent="0.35">
      <c r="A11" s="221" t="str">
        <f t="shared" si="0"/>
        <v/>
      </c>
      <c r="B11" s="52"/>
      <c r="C11" s="571" t="s">
        <v>72</v>
      </c>
      <c r="D11" s="571"/>
      <c r="E11" s="426"/>
      <c r="F11" s="426"/>
      <c r="G11" s="354" t="str">
        <f>IF(ISBLANK($G$3),"",IF(ISBLANK(F11),E11,(F11*'Staffing Wages'!$X$3/$H$5)))</f>
        <v/>
      </c>
      <c r="H11" s="192">
        <f>(E11/'Staffing Wages'!$J$3)*$H$5</f>
        <v>0</v>
      </c>
      <c r="I11" s="193" t="e">
        <f t="shared" si="1"/>
        <v>#VALUE!</v>
      </c>
      <c r="J11" s="434"/>
      <c r="K11" s="434"/>
    </row>
    <row r="12" spans="1:13" ht="13" customHeight="1" x14ac:dyDescent="0.35">
      <c r="A12" s="221" t="str">
        <f t="shared" si="0"/>
        <v/>
      </c>
      <c r="B12" s="52"/>
      <c r="C12" s="571" t="s">
        <v>73</v>
      </c>
      <c r="D12" s="571"/>
      <c r="E12" s="426"/>
      <c r="F12" s="426"/>
      <c r="G12" s="354" t="str">
        <f>IF(ISBLANK($G$3),"",IF(ISBLANK(F12),E12,(F12*'Staffing Wages'!$X$3/$H$5)))</f>
        <v/>
      </c>
      <c r="H12" s="192">
        <f>(E12/'Staffing Wages'!$J$3)*$H$5</f>
        <v>0</v>
      </c>
      <c r="I12" s="193" t="e">
        <f t="shared" si="1"/>
        <v>#VALUE!</v>
      </c>
      <c r="J12" s="434"/>
      <c r="K12" s="434"/>
    </row>
    <row r="13" spans="1:13" ht="13" customHeight="1" x14ac:dyDescent="0.35">
      <c r="A13" s="221" t="str">
        <f t="shared" si="0"/>
        <v/>
      </c>
      <c r="B13" s="52"/>
      <c r="C13" s="571" t="s">
        <v>74</v>
      </c>
      <c r="D13" s="571"/>
      <c r="E13" s="426"/>
      <c r="F13" s="426"/>
      <c r="G13" s="354" t="str">
        <f>IF(ISBLANK($G$3),"",IF(ISBLANK(F13),E13,(F13*'Staffing Wages'!$X$3/$H$5)))</f>
        <v/>
      </c>
      <c r="H13" s="192">
        <f>(E13/'Staffing Wages'!$J$3)*$H$5</f>
        <v>0</v>
      </c>
      <c r="I13" s="193" t="e">
        <f t="shared" si="1"/>
        <v>#VALUE!</v>
      </c>
      <c r="J13" s="14"/>
      <c r="K13" s="14"/>
    </row>
    <row r="14" spans="1:13" x14ac:dyDescent="0.35">
      <c r="A14" s="221" t="str">
        <f t="shared" si="0"/>
        <v/>
      </c>
      <c r="B14" s="52"/>
      <c r="C14" s="566" t="s">
        <v>349</v>
      </c>
      <c r="D14" s="566"/>
      <c r="E14" s="426"/>
      <c r="F14" s="426"/>
      <c r="G14" s="103" t="str">
        <f>IF(ISBLANK($G$3),"",IF(ISBLANK(F14),E14,(F14*'Staffing Wages'!$X$3/$H$5)))</f>
        <v/>
      </c>
      <c r="H14" s="192">
        <f>(E14/'Staffing Wages'!$J$3)*$H$5</f>
        <v>0</v>
      </c>
      <c r="I14" s="193" t="e">
        <f t="shared" si="1"/>
        <v>#VALUE!</v>
      </c>
      <c r="J14" s="435"/>
      <c r="K14" s="14"/>
    </row>
    <row r="15" spans="1:13" x14ac:dyDescent="0.35">
      <c r="A15" s="221" t="str">
        <f t="shared" si="0"/>
        <v/>
      </c>
      <c r="B15" s="52"/>
      <c r="C15" s="566" t="s">
        <v>196</v>
      </c>
      <c r="D15" s="566"/>
      <c r="E15" s="426"/>
      <c r="F15" s="426"/>
      <c r="G15" s="103" t="str">
        <f>IF(ISBLANK($G$3),"",IF(ISBLANK(F15),E15,(F15*'Staffing Wages'!$X$3/$H$5)))</f>
        <v/>
      </c>
      <c r="H15" s="192">
        <f>(E15/'Staffing Wages'!$J$3)*$H$5</f>
        <v>0</v>
      </c>
      <c r="I15" s="193" t="e">
        <f t="shared" si="1"/>
        <v>#VALUE!</v>
      </c>
      <c r="J15" s="435"/>
      <c r="K15" s="14"/>
    </row>
    <row r="16" spans="1:13" x14ac:dyDescent="0.35">
      <c r="A16" s="221" t="str">
        <f t="shared" si="0"/>
        <v/>
      </c>
      <c r="B16" s="52"/>
      <c r="C16" s="562" t="s">
        <v>197</v>
      </c>
      <c r="D16" s="563"/>
      <c r="E16" s="426"/>
      <c r="F16" s="426"/>
      <c r="G16" s="103" t="str">
        <f>IF(ISBLANK($G$3),"",IF(ISBLANK(F16),E16,(F16*'Staffing Wages'!$X$3/$H$5)))</f>
        <v/>
      </c>
      <c r="H16" s="192">
        <f>(E16/'Staffing Wages'!$J$3)*$H$5</f>
        <v>0</v>
      </c>
      <c r="I16" s="193" t="e">
        <f t="shared" si="1"/>
        <v>#VALUE!</v>
      </c>
      <c r="J16" s="14"/>
      <c r="K16" s="14"/>
    </row>
    <row r="17" spans="1:11" ht="5.8" customHeight="1" x14ac:dyDescent="0.35">
      <c r="A17" s="221"/>
      <c r="B17" s="47"/>
      <c r="C17" s="149"/>
      <c r="D17" s="149"/>
      <c r="E17" s="80"/>
      <c r="F17" s="80"/>
      <c r="G17" s="100"/>
      <c r="H17" s="192"/>
      <c r="I17" s="353"/>
      <c r="J17" s="14"/>
      <c r="K17" s="14"/>
    </row>
    <row r="18" spans="1:11" ht="25.5" customHeight="1" x14ac:dyDescent="0.35">
      <c r="A18" s="220"/>
      <c r="B18" s="52"/>
      <c r="C18" s="567" t="s">
        <v>389</v>
      </c>
      <c r="D18" s="568"/>
      <c r="E18" s="382" t="s">
        <v>66</v>
      </c>
      <c r="F18" s="382" t="s">
        <v>70</v>
      </c>
      <c r="G18" s="584" t="s">
        <v>304</v>
      </c>
      <c r="H18" s="77"/>
      <c r="I18" s="78"/>
      <c r="J18" s="14"/>
      <c r="K18" s="14"/>
    </row>
    <row r="19" spans="1:11" ht="13" customHeight="1" x14ac:dyDescent="0.35">
      <c r="A19" s="220"/>
      <c r="B19" s="52"/>
      <c r="C19" s="569"/>
      <c r="D19" s="570"/>
      <c r="E19" s="383" t="s">
        <v>65</v>
      </c>
      <c r="F19" s="111" t="str">
        <f>SUM($G$3-$E$3)&amp;" days"</f>
        <v>0 days</v>
      </c>
      <c r="G19" s="584"/>
      <c r="H19" s="77"/>
      <c r="I19" s="78"/>
      <c r="J19" s="14"/>
      <c r="K19" s="14"/>
    </row>
    <row r="20" spans="1:11" ht="13" customHeight="1" x14ac:dyDescent="0.35">
      <c r="A20" s="220"/>
      <c r="B20" s="70" t="s">
        <v>390</v>
      </c>
      <c r="C20" s="571" t="s">
        <v>155</v>
      </c>
      <c r="D20" s="571"/>
      <c r="E20" s="79"/>
      <c r="F20" s="79"/>
      <c r="G20" s="103" t="str">
        <f>IF(ISBLANK($G$3),"",IF(ISBLANK(F20),E20,(F20*'Staffing Wages'!$X$3/$H$5)))</f>
        <v/>
      </c>
      <c r="H20" s="77"/>
      <c r="I20" s="78"/>
      <c r="J20" s="14"/>
      <c r="K20" s="14"/>
    </row>
    <row r="21" spans="1:11" ht="13" customHeight="1" x14ac:dyDescent="0.35">
      <c r="A21" s="220"/>
      <c r="B21" s="70" t="s">
        <v>307</v>
      </c>
      <c r="C21" s="571" t="s">
        <v>252</v>
      </c>
      <c r="D21" s="571"/>
      <c r="E21" s="79"/>
      <c r="F21" s="79"/>
      <c r="G21" s="103" t="str">
        <f>IF(ISBLANK($G$3),"",IF(ISBLANK(F21),E21,(F21*'Staffing Wages'!$X$3/$H$5)))</f>
        <v/>
      </c>
      <c r="H21" s="77"/>
      <c r="I21" s="70"/>
      <c r="J21" s="14"/>
      <c r="K21" s="14"/>
    </row>
    <row r="22" spans="1:11" ht="13" customHeight="1" x14ac:dyDescent="0.35">
      <c r="A22" s="220"/>
      <c r="B22" s="70" t="s">
        <v>307</v>
      </c>
      <c r="C22" s="571" t="s">
        <v>151</v>
      </c>
      <c r="D22" s="571"/>
      <c r="E22" s="79"/>
      <c r="F22" s="79"/>
      <c r="G22" s="103" t="str">
        <f>IF(ISBLANK($G$3),"",IF(ISBLANK(F22),E22,(F22*'Staffing Wages'!$X$3/$H$5)))</f>
        <v/>
      </c>
      <c r="H22" s="77"/>
      <c r="I22" s="70"/>
      <c r="J22" s="14"/>
      <c r="K22" s="14"/>
    </row>
    <row r="23" spans="1:11" ht="13" customHeight="1" x14ac:dyDescent="0.35">
      <c r="A23" s="220"/>
      <c r="B23" s="70"/>
      <c r="C23" s="562" t="s">
        <v>152</v>
      </c>
      <c r="D23" s="563"/>
      <c r="E23" s="79"/>
      <c r="F23" s="79"/>
      <c r="G23" s="103" t="str">
        <f>IF(ISBLANK($G$3),"",IF(ISBLANK(F23),E23,(F23*'Staffing Wages'!$X$3/$H$5)))</f>
        <v/>
      </c>
      <c r="H23" s="77"/>
      <c r="I23" s="70"/>
      <c r="J23" s="14"/>
      <c r="K23" s="14"/>
    </row>
    <row r="24" spans="1:11" ht="13" customHeight="1" x14ac:dyDescent="0.35">
      <c r="A24" s="220"/>
      <c r="B24" s="70"/>
      <c r="C24" s="562" t="s">
        <v>153</v>
      </c>
      <c r="D24" s="563"/>
      <c r="E24" s="79"/>
      <c r="F24" s="79"/>
      <c r="G24" s="103" t="str">
        <f>IF(ISBLANK($G$3),"",IF(ISBLANK(F24),E24,(F24*'Staffing Wages'!$X$3/$H$5)))</f>
        <v/>
      </c>
      <c r="H24" s="77"/>
      <c r="I24" s="70"/>
      <c r="J24" s="14"/>
      <c r="K24" s="14"/>
    </row>
    <row r="25" spans="1:11" ht="13" customHeight="1" x14ac:dyDescent="0.35">
      <c r="A25" s="220"/>
      <c r="B25" s="70"/>
      <c r="C25" s="562" t="s">
        <v>154</v>
      </c>
      <c r="D25" s="563"/>
      <c r="E25" s="79"/>
      <c r="F25" s="79"/>
      <c r="G25" s="103" t="str">
        <f>IF(ISBLANK($G$3),"",IF(ISBLANK(F25),E25,(F25*'Staffing Wages'!$X$3/$H$5)))</f>
        <v/>
      </c>
      <c r="H25" s="77"/>
      <c r="I25" s="70"/>
      <c r="J25" s="14"/>
      <c r="K25" s="14"/>
    </row>
    <row r="26" spans="1:11" ht="40" customHeight="1" x14ac:dyDescent="0.35">
      <c r="A26" s="220"/>
      <c r="B26" s="70"/>
      <c r="C26" s="590" t="s">
        <v>391</v>
      </c>
      <c r="D26" s="590"/>
      <c r="E26" s="590"/>
      <c r="F26" s="591"/>
      <c r="G26" s="427" t="s">
        <v>94</v>
      </c>
      <c r="H26" s="81">
        <f>IF(G26="no",0,IF(G26="yes",1))</f>
        <v>1</v>
      </c>
      <c r="I26" s="70"/>
      <c r="J26" s="14"/>
      <c r="K26" s="14"/>
    </row>
    <row r="27" spans="1:11" ht="27" customHeight="1" x14ac:dyDescent="0.35">
      <c r="A27" s="220"/>
      <c r="B27" s="70"/>
      <c r="C27" s="592"/>
      <c r="D27" s="593"/>
      <c r="E27" s="381" t="s">
        <v>66</v>
      </c>
      <c r="F27" s="381" t="s">
        <v>70</v>
      </c>
      <c r="G27" s="599" t="s">
        <v>91</v>
      </c>
      <c r="H27" s="77"/>
      <c r="I27" s="70"/>
      <c r="J27" s="14"/>
      <c r="K27" s="14"/>
    </row>
    <row r="28" spans="1:11" ht="13" customHeight="1" x14ac:dyDescent="0.35">
      <c r="A28" s="220"/>
      <c r="B28" s="357"/>
      <c r="C28" s="594"/>
      <c r="D28" s="595"/>
      <c r="E28" s="383" t="s">
        <v>65</v>
      </c>
      <c r="F28" s="383" t="str">
        <f>SUM($G$3-$E$3)&amp;" days"</f>
        <v>0 days</v>
      </c>
      <c r="G28" s="600"/>
      <c r="H28" s="77"/>
      <c r="I28" s="70"/>
      <c r="J28" s="14"/>
      <c r="K28" s="14"/>
    </row>
    <row r="29" spans="1:11" ht="13" customHeight="1" x14ac:dyDescent="0.35">
      <c r="A29" s="220"/>
      <c r="B29" s="70"/>
      <c r="C29" s="590" t="s">
        <v>75</v>
      </c>
      <c r="D29" s="590"/>
      <c r="E29" s="441"/>
      <c r="F29" s="442"/>
      <c r="G29" s="601"/>
      <c r="H29" s="77">
        <f>($E29/365)*$H$5</f>
        <v>0</v>
      </c>
      <c r="I29" s="70"/>
      <c r="J29" s="14"/>
      <c r="K29" s="14"/>
    </row>
    <row r="30" spans="1:11" ht="13" customHeight="1" x14ac:dyDescent="0.35">
      <c r="A30" s="220"/>
      <c r="B30" s="70" t="s">
        <v>308</v>
      </c>
      <c r="C30" s="590" t="s">
        <v>76</v>
      </c>
      <c r="D30" s="590"/>
      <c r="E30" s="428"/>
      <c r="F30" s="429"/>
      <c r="G30" s="151" t="str">
        <f>IF(G26="no","",IF(ISBLANK($G$3),"",IF(ISBLANK(F30),E30,(F30*'Staffing Wages'!$X$3/$H$5))))</f>
        <v/>
      </c>
      <c r="H30" s="77">
        <f>(E30/'Staffing Wages'!$J$3)*$H$5</f>
        <v>0</v>
      </c>
      <c r="I30" s="78" t="e">
        <f t="shared" ref="I30" si="2">E30-G30</f>
        <v>#VALUE!</v>
      </c>
      <c r="J30" s="14"/>
      <c r="K30" s="14"/>
    </row>
    <row r="31" spans="1:11" ht="5.4" customHeight="1" x14ac:dyDescent="0.35">
      <c r="A31" s="220"/>
      <c r="B31" s="70"/>
      <c r="C31" s="220"/>
      <c r="D31" s="220"/>
      <c r="E31" s="220">
        <f>SUM(E20:E25,E30)</f>
        <v>0</v>
      </c>
      <c r="F31" s="220"/>
      <c r="G31" s="220">
        <f>SUM(G20:G25,G30)</f>
        <v>0</v>
      </c>
      <c r="H31" s="220"/>
      <c r="I31" s="220"/>
      <c r="J31" s="14"/>
      <c r="K31" s="14"/>
    </row>
    <row r="32" spans="1:11" ht="27.55" customHeight="1" x14ac:dyDescent="0.35">
      <c r="A32" s="220"/>
      <c r="B32" s="70"/>
      <c r="C32" s="602" t="s">
        <v>392</v>
      </c>
      <c r="D32" s="603"/>
      <c r="E32" s="82" t="s">
        <v>66</v>
      </c>
      <c r="F32" s="381" t="s">
        <v>70</v>
      </c>
      <c r="G32" s="584" t="s">
        <v>304</v>
      </c>
      <c r="H32" s="77"/>
      <c r="I32" s="78"/>
      <c r="J32" s="14"/>
      <c r="K32" s="14"/>
    </row>
    <row r="33" spans="1:11" ht="13" customHeight="1" x14ac:dyDescent="0.35">
      <c r="A33" s="220"/>
      <c r="B33" s="70"/>
      <c r="C33" s="604"/>
      <c r="D33" s="605"/>
      <c r="E33" s="197" t="s">
        <v>65</v>
      </c>
      <c r="F33" s="111" t="str">
        <f>SUM($G$3-$E$3)&amp;" days"</f>
        <v>0 days</v>
      </c>
      <c r="G33" s="584"/>
      <c r="H33" s="77"/>
      <c r="I33" s="78"/>
      <c r="J33" s="14"/>
      <c r="K33" s="14"/>
    </row>
    <row r="34" spans="1:11" ht="13" customHeight="1" x14ac:dyDescent="0.35">
      <c r="A34" s="221" t="str">
        <f>G34</f>
        <v/>
      </c>
      <c r="B34" s="358" t="s">
        <v>308</v>
      </c>
      <c r="C34" s="606" t="s">
        <v>135</v>
      </c>
      <c r="D34" s="607"/>
      <c r="E34" s="79"/>
      <c r="F34" s="430"/>
      <c r="G34" s="103" t="str">
        <f>IF(ISBLANK($G$3),"",IF(ISBLANK(F34),E34,(F34*'Staffing Wages'!$X$3/$H$5)))</f>
        <v/>
      </c>
      <c r="H34" s="192">
        <f>(E34/'Staffing Wages'!$J$3)*$H$5</f>
        <v>0</v>
      </c>
      <c r="I34" s="193" t="e">
        <f>E34-G34</f>
        <v>#VALUE!</v>
      </c>
      <c r="J34" s="14"/>
      <c r="K34" s="14"/>
    </row>
    <row r="35" spans="1:11" ht="13" customHeight="1" x14ac:dyDescent="0.35">
      <c r="A35" s="221" t="str">
        <f>G35</f>
        <v/>
      </c>
      <c r="B35" s="358" t="s">
        <v>308</v>
      </c>
      <c r="C35" s="580" t="s">
        <v>138</v>
      </c>
      <c r="D35" s="580"/>
      <c r="E35" s="79"/>
      <c r="F35" s="430"/>
      <c r="G35" s="103" t="str">
        <f>IF(ISBLANK($G$3),"",IF(ISBLANK(F35),E35,(F35*'Staffing Wages'!$X$3/$H$5)))</f>
        <v/>
      </c>
      <c r="H35" s="192">
        <f>(E35/'Staffing Wages'!$J$3)*$H$5</f>
        <v>0</v>
      </c>
      <c r="I35" s="193" t="e">
        <f>E35-G35</f>
        <v>#VALUE!</v>
      </c>
      <c r="J35" s="14"/>
      <c r="K35" s="14"/>
    </row>
    <row r="36" spans="1:11" ht="13" customHeight="1" x14ac:dyDescent="0.35">
      <c r="A36" s="221"/>
      <c r="B36" s="358" t="s">
        <v>308</v>
      </c>
      <c r="C36" s="580" t="s">
        <v>306</v>
      </c>
      <c r="D36" s="580"/>
      <c r="E36" s="79"/>
      <c r="F36" s="430"/>
      <c r="G36" s="103" t="str">
        <f>IF(ISBLANK($G$3),"",IF(ISBLANK(F36),E36,(F36*'Staffing Wages'!$X$3/$H$5)))</f>
        <v/>
      </c>
      <c r="H36" s="192">
        <f>(E36/'Staffing Wages'!$J$3)*$H$5</f>
        <v>0</v>
      </c>
      <c r="I36" s="193" t="e">
        <f t="shared" ref="I36" si="3">E36-G36</f>
        <v>#VALUE!</v>
      </c>
      <c r="J36" s="14"/>
      <c r="K36" s="14"/>
    </row>
    <row r="37" spans="1:11" ht="13" customHeight="1" x14ac:dyDescent="0.35">
      <c r="A37" s="221"/>
      <c r="B37" s="358" t="s">
        <v>308</v>
      </c>
      <c r="C37" s="575" t="s">
        <v>314</v>
      </c>
      <c r="D37" s="576"/>
      <c r="E37" s="79"/>
      <c r="F37" s="430"/>
      <c r="G37" s="103" t="str">
        <f>IF(ISBLANK($G$3),"",IF(ISBLANK(F37),E37,(F37*'Staffing Wages'!$X$3/$H$5)))</f>
        <v/>
      </c>
      <c r="H37" s="192">
        <f>(E37/'Staffing Wages'!$J$3)*$H$5</f>
        <v>0</v>
      </c>
      <c r="I37" s="193" t="e">
        <f t="shared" ref="I37" si="4">E37-G37</f>
        <v>#VALUE!</v>
      </c>
      <c r="J37" s="14"/>
      <c r="K37" s="14"/>
    </row>
    <row r="38" spans="1:11" ht="13" customHeight="1" x14ac:dyDescent="0.35">
      <c r="A38" s="220" t="str">
        <f>G38</f>
        <v/>
      </c>
      <c r="B38" s="358" t="s">
        <v>308</v>
      </c>
      <c r="C38" s="562"/>
      <c r="D38" s="563"/>
      <c r="E38" s="79"/>
      <c r="F38" s="430"/>
      <c r="G38" s="103" t="str">
        <f>IF(ISBLANK($G$3),"",IF(ISBLANK(F38),E38,(F38*'Staffing Wages'!$X$3/$H$5)))</f>
        <v/>
      </c>
      <c r="H38" s="77">
        <f>(E38/'Staffing Wages'!$J$3)*$H$5</f>
        <v>0</v>
      </c>
      <c r="I38" s="78" t="e">
        <f>E38-G38</f>
        <v>#VALUE!</v>
      </c>
      <c r="J38" s="14"/>
      <c r="K38" s="14"/>
    </row>
    <row r="39" spans="1:11" ht="13" customHeight="1" x14ac:dyDescent="0.35">
      <c r="A39" s="220" t="str">
        <f t="shared" ref="A39:A41" si="5">G39</f>
        <v/>
      </c>
      <c r="B39" s="358" t="s">
        <v>308</v>
      </c>
      <c r="C39" s="562" t="s">
        <v>388</v>
      </c>
      <c r="D39" s="563"/>
      <c r="E39" s="79"/>
      <c r="F39" s="430"/>
      <c r="G39" s="103" t="str">
        <f>IF(ISBLANK($G$3),"",IF(ISBLANK(F39),E39,(F39*'Staffing Wages'!$X$3/$H$5)))</f>
        <v/>
      </c>
      <c r="H39" s="77">
        <f>(E39/'Staffing Wages'!$J$3)*$H$5</f>
        <v>0</v>
      </c>
      <c r="I39" s="78" t="e">
        <f>E39-G39</f>
        <v>#VALUE!</v>
      </c>
      <c r="J39" s="14"/>
      <c r="K39" s="14"/>
    </row>
    <row r="40" spans="1:11" ht="13" customHeight="1" x14ac:dyDescent="0.35">
      <c r="A40" s="220" t="str">
        <f t="shared" si="5"/>
        <v/>
      </c>
      <c r="B40" s="358" t="s">
        <v>308</v>
      </c>
      <c r="C40" s="562" t="s">
        <v>396</v>
      </c>
      <c r="D40" s="563"/>
      <c r="E40" s="79"/>
      <c r="F40" s="430"/>
      <c r="G40" s="103" t="str">
        <f>IF(ISBLANK($G$3),"",IF(ISBLANK(F40),E40,(F40*'Staffing Wages'!$X$3/$H$5)))</f>
        <v/>
      </c>
      <c r="H40" s="77">
        <f>(E40/'Staffing Wages'!$J$3)*$H$5</f>
        <v>0</v>
      </c>
      <c r="I40" s="78" t="e">
        <f>E40-G40</f>
        <v>#VALUE!</v>
      </c>
      <c r="J40" s="14"/>
      <c r="K40" s="14"/>
    </row>
    <row r="41" spans="1:11" ht="13" customHeight="1" x14ac:dyDescent="0.35">
      <c r="A41" s="220" t="str">
        <f t="shared" si="5"/>
        <v/>
      </c>
      <c r="B41" s="358" t="s">
        <v>308</v>
      </c>
      <c r="C41" s="562" t="s">
        <v>372</v>
      </c>
      <c r="D41" s="563"/>
      <c r="E41" s="79"/>
      <c r="F41" s="431"/>
      <c r="G41" s="103" t="str">
        <f>IF(ISBLANK($G$3),"",IF(ISBLANK(F41),E41,(F41*'Staffing Wages'!$X$3/$H$5)))</f>
        <v/>
      </c>
      <c r="H41" s="77">
        <f>(E41/'Staffing Wages'!$J$3)*$H$5</f>
        <v>0</v>
      </c>
      <c r="I41" s="78" t="e">
        <f>E41-G41</f>
        <v>#VALUE!</v>
      </c>
      <c r="J41" s="14"/>
      <c r="K41" s="14"/>
    </row>
    <row r="42" spans="1:11" ht="13" customHeight="1" x14ac:dyDescent="0.35">
      <c r="A42" s="220"/>
      <c r="B42" s="358" t="s">
        <v>308</v>
      </c>
      <c r="C42" s="562" t="s">
        <v>373</v>
      </c>
      <c r="D42" s="563"/>
      <c r="E42" s="79"/>
      <c r="F42" s="431"/>
      <c r="G42" s="103" t="str">
        <f>IF(ISBLANK($G$3),"",IF(ISBLANK(F42),E42,(F42*'Staffing Wages'!$X$3/$H$5)))</f>
        <v/>
      </c>
      <c r="H42" s="77">
        <f>(E42/'Staffing Wages'!$J$3)*$H$5</f>
        <v>0</v>
      </c>
      <c r="I42" s="78" t="e">
        <f t="shared" ref="I42:I45" si="6">E42-G42</f>
        <v>#VALUE!</v>
      </c>
      <c r="J42" s="14"/>
      <c r="K42" s="14"/>
    </row>
    <row r="43" spans="1:11" ht="13" customHeight="1" x14ac:dyDescent="0.35">
      <c r="A43" s="220"/>
      <c r="B43" s="358" t="s">
        <v>308</v>
      </c>
      <c r="C43" s="562" t="s">
        <v>374</v>
      </c>
      <c r="D43" s="563"/>
      <c r="E43" s="79"/>
      <c r="F43" s="431"/>
      <c r="G43" s="103" t="str">
        <f>IF(ISBLANK($G$3),"",IF(ISBLANK(F43),E43,(F43*'Staffing Wages'!$X$3/$H$5)))</f>
        <v/>
      </c>
      <c r="H43" s="77">
        <f>(E43/'Staffing Wages'!$J$3)*$H$5</f>
        <v>0</v>
      </c>
      <c r="I43" s="78" t="e">
        <f t="shared" si="6"/>
        <v>#VALUE!</v>
      </c>
      <c r="J43" s="14"/>
      <c r="K43" s="14"/>
    </row>
    <row r="44" spans="1:11" ht="13" customHeight="1" x14ac:dyDescent="0.35">
      <c r="A44" s="220"/>
      <c r="B44" s="358" t="s">
        <v>308</v>
      </c>
      <c r="C44" s="562" t="s">
        <v>375</v>
      </c>
      <c r="D44" s="563"/>
      <c r="E44" s="79"/>
      <c r="F44" s="431"/>
      <c r="G44" s="103" t="str">
        <f>IF(ISBLANK($G$3),"",IF(ISBLANK(F44),E44,(F44*'Staffing Wages'!$X$3/$H$5)))</f>
        <v/>
      </c>
      <c r="H44" s="77">
        <f>(E44/'Staffing Wages'!$J$3)*$H$5</f>
        <v>0</v>
      </c>
      <c r="I44" s="78" t="e">
        <f t="shared" si="6"/>
        <v>#VALUE!</v>
      </c>
      <c r="J44" s="14"/>
      <c r="K44" s="14"/>
    </row>
    <row r="45" spans="1:11" ht="13" customHeight="1" x14ac:dyDescent="0.35">
      <c r="A45" s="220"/>
      <c r="B45" s="358" t="s">
        <v>308</v>
      </c>
      <c r="C45" s="562" t="s">
        <v>376</v>
      </c>
      <c r="D45" s="563"/>
      <c r="E45" s="79"/>
      <c r="F45" s="431"/>
      <c r="G45" s="103" t="str">
        <f>IF(ISBLANK($G$3),"",IF(ISBLANK(F45),E45,(F45*'Staffing Wages'!$X$3/$H$5)))</f>
        <v/>
      </c>
      <c r="H45" s="77">
        <f>(E45/'Staffing Wages'!$J$3)*$H$5</f>
        <v>0</v>
      </c>
      <c r="I45" s="78" t="e">
        <f t="shared" si="6"/>
        <v>#VALUE!</v>
      </c>
      <c r="J45" s="14"/>
      <c r="K45" s="14"/>
    </row>
    <row r="46" spans="1:11" ht="5.4" customHeight="1" x14ac:dyDescent="0.35">
      <c r="A46" s="220"/>
      <c r="B46" s="70"/>
      <c r="C46" s="149"/>
      <c r="D46" s="149"/>
      <c r="E46" s="198">
        <f>SUM(E34:E45)</f>
        <v>0</v>
      </c>
      <c r="F46" s="198"/>
      <c r="G46" s="198">
        <f>SUM(G34:G45)</f>
        <v>0</v>
      </c>
      <c r="H46" s="77"/>
      <c r="I46" s="70"/>
      <c r="J46" s="136"/>
      <c r="K46" s="136"/>
    </row>
    <row r="47" spans="1:11" ht="30" customHeight="1" x14ac:dyDescent="0.35">
      <c r="A47" s="220"/>
      <c r="B47" s="70"/>
      <c r="C47" s="583" t="s">
        <v>363</v>
      </c>
      <c r="D47" s="596"/>
      <c r="E47" s="82" t="s">
        <v>66</v>
      </c>
      <c r="F47" s="381" t="s">
        <v>70</v>
      </c>
      <c r="G47" s="598" t="s">
        <v>304</v>
      </c>
      <c r="H47" s="70"/>
      <c r="I47" s="70"/>
      <c r="J47" s="608"/>
      <c r="K47" s="608"/>
    </row>
    <row r="48" spans="1:11" ht="13" customHeight="1" x14ac:dyDescent="0.35">
      <c r="A48" s="220"/>
      <c r="B48" s="70" t="s">
        <v>77</v>
      </c>
      <c r="C48" s="597"/>
      <c r="D48" s="592"/>
      <c r="E48" s="197" t="s">
        <v>65</v>
      </c>
      <c r="F48" s="111" t="str">
        <f>SUM($G$3-$E$3)&amp;" days"</f>
        <v>0 days</v>
      </c>
      <c r="G48" s="598"/>
      <c r="H48" s="70"/>
      <c r="I48" s="70"/>
      <c r="J48" s="608"/>
      <c r="K48" s="608"/>
    </row>
    <row r="49" spans="1:11" ht="13" customHeight="1" x14ac:dyDescent="0.35">
      <c r="A49" s="220" t="e">
        <f>IF(E68&gt;0,E49+H68,IF(G49&gt;E49,G49,(IF(E49=G49,E49+H68,E49))))</f>
        <v>#VALUE!</v>
      </c>
      <c r="B49" s="70" t="s">
        <v>390</v>
      </c>
      <c r="C49" s="571" t="s">
        <v>305</v>
      </c>
      <c r="D49" s="571"/>
      <c r="E49" s="79"/>
      <c r="F49" s="107"/>
      <c r="G49" s="103" t="str">
        <f>IF(ISBLANK($G$3),"",IF(ISBLANK(F49),E49,(F49*'Staffing Wages'!$X$3/$H$5)))</f>
        <v/>
      </c>
      <c r="H49" s="77">
        <f>(E49/'Staffing Wages'!$J$3)*$H$5</f>
        <v>0</v>
      </c>
      <c r="I49" s="78" t="e">
        <f>E49-G49</f>
        <v>#VALUE!</v>
      </c>
      <c r="J49" s="436"/>
      <c r="K49" s="14"/>
    </row>
    <row r="50" spans="1:11" x14ac:dyDescent="0.35">
      <c r="A50" s="220" t="e">
        <f>IF(E69&gt;0,E50+H69,IF(G50&gt;E50,G50,(IF(E50=G50,E50+H69,E50))))</f>
        <v>#VALUE!</v>
      </c>
      <c r="B50" s="70" t="s">
        <v>390</v>
      </c>
      <c r="C50" s="571" t="s">
        <v>209</v>
      </c>
      <c r="D50" s="571"/>
      <c r="E50" s="79"/>
      <c r="F50" s="107"/>
      <c r="G50" s="103" t="str">
        <f>IF(ISBLANK($G$3),"",IF(ISBLANK(F50),E50,(F50*'Staffing Wages'!$X$3/$H$5)))</f>
        <v/>
      </c>
      <c r="H50" s="77">
        <f>(E50/'Staffing Wages'!$J$3)*$H$5</f>
        <v>0</v>
      </c>
      <c r="I50" s="78" t="e">
        <f t="shared" ref="I50:I51" si="7">E50-G50</f>
        <v>#VALUE!</v>
      </c>
      <c r="J50" s="14"/>
      <c r="K50" s="14"/>
    </row>
    <row r="51" spans="1:11" ht="13" customHeight="1" x14ac:dyDescent="0.35">
      <c r="A51" s="220" t="str">
        <f>G51</f>
        <v/>
      </c>
      <c r="B51" s="70" t="s">
        <v>390</v>
      </c>
      <c r="C51" s="571" t="s">
        <v>199</v>
      </c>
      <c r="D51" s="571"/>
      <c r="E51" s="79"/>
      <c r="F51" s="107"/>
      <c r="G51" s="103" t="str">
        <f>IF(ISBLANK($G$3),"",IF(ISBLANK(F51),E51,(F51*'Staffing Wages'!$X$3/$H$5)))</f>
        <v/>
      </c>
      <c r="H51" s="77">
        <f>(E51/'Staffing Wages'!$J$3)*$H$5</f>
        <v>0</v>
      </c>
      <c r="I51" s="78" t="e">
        <f t="shared" si="7"/>
        <v>#VALUE!</v>
      </c>
      <c r="J51" s="14"/>
      <c r="K51" s="437"/>
    </row>
    <row r="52" spans="1:11" ht="13" customHeight="1" x14ac:dyDescent="0.35">
      <c r="A52" s="221" t="e">
        <f>IF(E70&gt;0,E52+H70,IF(G52&gt;E52,G52,IF(E52=G52,E52+H70,E52)))</f>
        <v>#VALUE!</v>
      </c>
      <c r="B52" s="70" t="s">
        <v>390</v>
      </c>
      <c r="C52" s="575" t="s">
        <v>210</v>
      </c>
      <c r="D52" s="576"/>
      <c r="E52" s="79"/>
      <c r="F52" s="430"/>
      <c r="G52" s="103" t="str">
        <f>IF(ISBLANK($G$3),"",IF(ISBLANK(F52),E52,(F52*'Staffing Wages'!$X$3/$H$5)))</f>
        <v/>
      </c>
      <c r="H52" s="192">
        <f>(E52/'Staffing Wages'!$J$3)*$H$5</f>
        <v>0</v>
      </c>
      <c r="I52" s="193" t="e">
        <f>E52-G52</f>
        <v>#VALUE!</v>
      </c>
      <c r="J52" s="14"/>
      <c r="K52" s="437"/>
    </row>
    <row r="53" spans="1:11" ht="13" customHeight="1" x14ac:dyDescent="0.35">
      <c r="A53" s="221"/>
      <c r="B53" s="70" t="s">
        <v>307</v>
      </c>
      <c r="C53" s="575" t="s">
        <v>312</v>
      </c>
      <c r="D53" s="576"/>
      <c r="E53" s="79"/>
      <c r="F53" s="430"/>
      <c r="G53" s="103" t="str">
        <f>IF(ISBLANK($G$3),"",IF(ISBLANK(F53),E53,(F53*'Staffing Wages'!$X$3/$H$5)))</f>
        <v/>
      </c>
      <c r="H53" s="192"/>
      <c r="I53" s="193"/>
      <c r="J53" s="14"/>
      <c r="K53" s="437"/>
    </row>
    <row r="54" spans="1:11" ht="13" customHeight="1" x14ac:dyDescent="0.35">
      <c r="A54" s="221"/>
      <c r="B54" s="70" t="s">
        <v>390</v>
      </c>
      <c r="C54" s="575" t="s">
        <v>313</v>
      </c>
      <c r="D54" s="576"/>
      <c r="E54" s="79"/>
      <c r="F54" s="430"/>
      <c r="G54" s="103" t="str">
        <f>IF(ISBLANK($G$3),"",IF(ISBLANK(F54),E54,(F54*'Staffing Wages'!$X$3/$H$5)))</f>
        <v/>
      </c>
      <c r="H54" s="192"/>
      <c r="I54" s="193"/>
      <c r="J54" s="14"/>
      <c r="K54" s="437"/>
    </row>
    <row r="55" spans="1:11" ht="13" customHeight="1" x14ac:dyDescent="0.35">
      <c r="A55" s="221"/>
      <c r="B55" s="70" t="s">
        <v>390</v>
      </c>
      <c r="C55" s="571" t="s">
        <v>309</v>
      </c>
      <c r="D55" s="610"/>
      <c r="E55" s="79"/>
      <c r="F55" s="430"/>
      <c r="G55" s="103" t="str">
        <f>IF(ISBLANK($G$3),"",IF(ISBLANK(F55),E55,(F55*'Staffing Wages'!$X$3/$H$5)))</f>
        <v/>
      </c>
      <c r="H55" s="192">
        <f>(E55/'Staffing Wages'!$J$3)*$H$5</f>
        <v>0</v>
      </c>
      <c r="I55" s="193" t="e">
        <f t="shared" ref="I55:I65" si="8">E55-G55</f>
        <v>#VALUE!</v>
      </c>
      <c r="J55" s="14"/>
      <c r="K55" s="437"/>
    </row>
    <row r="56" spans="1:11" ht="13" customHeight="1" x14ac:dyDescent="0.35">
      <c r="A56" s="221"/>
      <c r="B56" s="70" t="s">
        <v>390</v>
      </c>
      <c r="C56" s="575" t="s">
        <v>310</v>
      </c>
      <c r="D56" s="611"/>
      <c r="E56" s="79"/>
      <c r="F56" s="430"/>
      <c r="G56" s="103" t="str">
        <f>IF(ISBLANK($G$3),"",IF(ISBLANK(F56),E56,(F56*'Staffing Wages'!$X$3/$H$5)))</f>
        <v/>
      </c>
      <c r="H56" s="192">
        <f>(E56/'Staffing Wages'!$J$3)*$H$5</f>
        <v>0</v>
      </c>
      <c r="I56" s="193" t="e">
        <f t="shared" si="8"/>
        <v>#VALUE!</v>
      </c>
      <c r="J56" s="14"/>
      <c r="K56" s="437"/>
    </row>
    <row r="57" spans="1:11" ht="13" customHeight="1" x14ac:dyDescent="0.35">
      <c r="A57" s="221"/>
      <c r="B57" s="70" t="s">
        <v>390</v>
      </c>
      <c r="C57" s="575" t="s">
        <v>311</v>
      </c>
      <c r="D57" s="611"/>
      <c r="E57" s="79"/>
      <c r="F57" s="430"/>
      <c r="G57" s="103" t="str">
        <f>IF(ISBLANK($G$3),"",IF(ISBLANK(F57),E57,(F57*'Staffing Wages'!$X$3/$H$5)))</f>
        <v/>
      </c>
      <c r="H57" s="192">
        <f>(E57/'Staffing Wages'!$J$3)*$H$5</f>
        <v>0</v>
      </c>
      <c r="I57" s="193" t="e">
        <f t="shared" si="8"/>
        <v>#VALUE!</v>
      </c>
      <c r="J57" s="14"/>
      <c r="K57" s="437"/>
    </row>
    <row r="58" spans="1:11" ht="13" customHeight="1" x14ac:dyDescent="0.35">
      <c r="A58" s="221"/>
      <c r="B58" s="70"/>
      <c r="C58" s="562" t="s">
        <v>364</v>
      </c>
      <c r="D58" s="581"/>
      <c r="E58" s="79"/>
      <c r="F58" s="430"/>
      <c r="G58" s="103" t="str">
        <f>IF(ISBLANK($G$3),"",IF(ISBLANK(F58),E58,(F58*'Staffing Wages'!$X$3/$H$5)))</f>
        <v/>
      </c>
      <c r="H58" s="192">
        <f>(E58/'Staffing Wages'!$J$3)*$H$5</f>
        <v>0</v>
      </c>
      <c r="I58" s="193" t="e">
        <f t="shared" si="8"/>
        <v>#VALUE!</v>
      </c>
      <c r="J58" s="14"/>
      <c r="K58" s="437"/>
    </row>
    <row r="59" spans="1:11" ht="13" customHeight="1" x14ac:dyDescent="0.35">
      <c r="A59" s="221"/>
      <c r="B59" s="70"/>
      <c r="C59" s="562" t="s">
        <v>365</v>
      </c>
      <c r="D59" s="581"/>
      <c r="E59" s="79"/>
      <c r="F59" s="430"/>
      <c r="G59" s="103" t="str">
        <f>IF(ISBLANK($G$3),"",IF(ISBLANK(F59),E59,(F59*'Staffing Wages'!$X$3/$H$5)))</f>
        <v/>
      </c>
      <c r="H59" s="192">
        <f>(E59/'Staffing Wages'!$J$3)*$H$5</f>
        <v>0</v>
      </c>
      <c r="I59" s="193" t="e">
        <f t="shared" si="8"/>
        <v>#VALUE!</v>
      </c>
      <c r="J59" s="14"/>
      <c r="K59" s="437"/>
    </row>
    <row r="60" spans="1:11" ht="13" customHeight="1" x14ac:dyDescent="0.35">
      <c r="A60" s="221"/>
      <c r="B60" s="70"/>
      <c r="C60" s="562" t="s">
        <v>366</v>
      </c>
      <c r="D60" s="581"/>
      <c r="E60" s="79"/>
      <c r="F60" s="430"/>
      <c r="G60" s="103" t="str">
        <f>IF(ISBLANK($G$3),"",IF(ISBLANK(F60),E60,(F60*'Staffing Wages'!$X$3/$H$5)))</f>
        <v/>
      </c>
      <c r="H60" s="192">
        <f>(E60/'Staffing Wages'!$J$3)*$H$5</f>
        <v>0</v>
      </c>
      <c r="I60" s="193" t="e">
        <f t="shared" si="8"/>
        <v>#VALUE!</v>
      </c>
      <c r="J60" s="14"/>
      <c r="K60" s="437"/>
    </row>
    <row r="61" spans="1:11" ht="13" customHeight="1" x14ac:dyDescent="0.35">
      <c r="A61" s="221"/>
      <c r="B61" s="70"/>
      <c r="C61" s="562" t="s">
        <v>367</v>
      </c>
      <c r="D61" s="581"/>
      <c r="E61" s="79"/>
      <c r="F61" s="430"/>
      <c r="G61" s="103" t="str">
        <f>IF(ISBLANK($G$3),"",IF(ISBLANK(F61),E61,(F61*'Staffing Wages'!$X$3/$H$5)))</f>
        <v/>
      </c>
      <c r="H61" s="192">
        <f>(E61/'Staffing Wages'!$J$3)*$H$5</f>
        <v>0</v>
      </c>
      <c r="I61" s="193" t="e">
        <f t="shared" si="8"/>
        <v>#VALUE!</v>
      </c>
      <c r="J61" s="14"/>
      <c r="K61" s="437"/>
    </row>
    <row r="62" spans="1:11" ht="13" customHeight="1" x14ac:dyDescent="0.35">
      <c r="A62" s="221"/>
      <c r="B62" s="70"/>
      <c r="C62" s="562" t="s">
        <v>368</v>
      </c>
      <c r="D62" s="581"/>
      <c r="E62" s="79"/>
      <c r="F62" s="430"/>
      <c r="G62" s="103" t="str">
        <f>IF(ISBLANK($G$3),"",IF(ISBLANK(F62),E62,(F62*'Staffing Wages'!$X$3/$H$5)))</f>
        <v/>
      </c>
      <c r="H62" s="192">
        <f>(E62/'Staffing Wages'!$J$3)*$H$5</f>
        <v>0</v>
      </c>
      <c r="I62" s="193" t="e">
        <f t="shared" si="8"/>
        <v>#VALUE!</v>
      </c>
      <c r="J62" s="14"/>
      <c r="K62" s="437"/>
    </row>
    <row r="63" spans="1:11" ht="13" customHeight="1" x14ac:dyDescent="0.35">
      <c r="A63" s="221"/>
      <c r="B63" s="70"/>
      <c r="C63" s="562" t="s">
        <v>369</v>
      </c>
      <c r="D63" s="581"/>
      <c r="E63" s="79"/>
      <c r="F63" s="430"/>
      <c r="G63" s="103" t="str">
        <f>IF(ISBLANK($G$3),"",IF(ISBLANK(F63),E63,(F63*'Staffing Wages'!$X$3/$H$5)))</f>
        <v/>
      </c>
      <c r="H63" s="192">
        <f>(E63/'Staffing Wages'!$J$3)*$H$5</f>
        <v>0</v>
      </c>
      <c r="I63" s="193" t="e">
        <f t="shared" si="8"/>
        <v>#VALUE!</v>
      </c>
      <c r="J63" s="14"/>
      <c r="K63" s="437"/>
    </row>
    <row r="64" spans="1:11" ht="13" customHeight="1" x14ac:dyDescent="0.35">
      <c r="A64" s="221"/>
      <c r="B64" s="70"/>
      <c r="C64" s="562" t="s">
        <v>370</v>
      </c>
      <c r="D64" s="581"/>
      <c r="E64" s="79"/>
      <c r="F64" s="430"/>
      <c r="G64" s="103" t="str">
        <f>IF(ISBLANK($G$3),"",IF(ISBLANK(F64),E64,(F64*'Staffing Wages'!$X$3/$H$5)))</f>
        <v/>
      </c>
      <c r="H64" s="192">
        <f>(E64/'Staffing Wages'!$J$3)*$H$5</f>
        <v>0</v>
      </c>
      <c r="I64" s="193" t="e">
        <f t="shared" si="8"/>
        <v>#VALUE!</v>
      </c>
      <c r="J64" s="14"/>
      <c r="K64" s="437"/>
    </row>
    <row r="65" spans="1:11" ht="13" customHeight="1" x14ac:dyDescent="0.35">
      <c r="A65" s="221"/>
      <c r="B65" s="70"/>
      <c r="C65" s="562" t="s">
        <v>371</v>
      </c>
      <c r="D65" s="581"/>
      <c r="E65" s="79"/>
      <c r="F65" s="430"/>
      <c r="G65" s="103" t="str">
        <f>IF(ISBLANK($G$3),"",IF(ISBLANK(F65),E65,(F65*'Staffing Wages'!$X$3/$H$5)))</f>
        <v/>
      </c>
      <c r="H65" s="192">
        <f>(E65/'Staffing Wages'!$J$3)*$H$5</f>
        <v>0</v>
      </c>
      <c r="I65" s="193" t="e">
        <f t="shared" si="8"/>
        <v>#VALUE!</v>
      </c>
      <c r="J65" s="14"/>
      <c r="K65" s="437"/>
    </row>
    <row r="66" spans="1:11" ht="13" customHeight="1" x14ac:dyDescent="0.35">
      <c r="A66" s="220"/>
      <c r="B66" s="70"/>
      <c r="C66" s="577" t="s">
        <v>393</v>
      </c>
      <c r="D66" s="578"/>
      <c r="E66" s="578"/>
      <c r="F66" s="578"/>
      <c r="G66" s="579"/>
      <c r="H66" s="77"/>
      <c r="I66" s="78"/>
      <c r="J66" s="609"/>
      <c r="K66" s="609"/>
    </row>
    <row r="67" spans="1:11" ht="13" customHeight="1" x14ac:dyDescent="0.35">
      <c r="A67" s="220"/>
      <c r="B67" s="70"/>
      <c r="C67" s="406"/>
      <c r="D67" s="407" t="s">
        <v>207</v>
      </c>
      <c r="E67" s="407" t="s">
        <v>208</v>
      </c>
      <c r="F67" s="572"/>
      <c r="G67" s="573"/>
      <c r="H67" s="77"/>
      <c r="I67" s="78"/>
      <c r="J67" s="609"/>
      <c r="K67" s="609"/>
    </row>
    <row r="68" spans="1:11" ht="13" customHeight="1" x14ac:dyDescent="0.35">
      <c r="A68" s="220"/>
      <c r="B68" s="70"/>
      <c r="C68" s="408" t="s">
        <v>198</v>
      </c>
      <c r="D68" s="432"/>
      <c r="E68" s="433"/>
      <c r="F68" s="574" t="str">
        <f>IF(ISBLANK(E68),"","From "&amp;TEXT($E$68,"DD/MM/YY")&amp;" year cost: "&amp;TEXT(G49+H68,"£#,##0.00"))</f>
        <v/>
      </c>
      <c r="G68" s="574"/>
      <c r="H68" s="77" t="e">
        <f>D68*G49</f>
        <v>#VALUE!</v>
      </c>
      <c r="I68" s="78" t="b">
        <f>IF(NOT(ISBLANK(E68)),TRUE)</f>
        <v>0</v>
      </c>
      <c r="J68" s="608"/>
      <c r="K68" s="608"/>
    </row>
    <row r="69" spans="1:11" ht="13" customHeight="1" x14ac:dyDescent="0.35">
      <c r="A69" s="220"/>
      <c r="B69" s="70"/>
      <c r="C69" s="408" t="s">
        <v>217</v>
      </c>
      <c r="D69" s="432"/>
      <c r="E69" s="433"/>
      <c r="F69" s="574" t="str">
        <f>IF(ISBLANK(E69),"","From "&amp;TEXT(E69,"DD/MM/YY")&amp;" year cost: "&amp;TEXT(G50+H69,"£###,##0.00"))</f>
        <v/>
      </c>
      <c r="G69" s="574"/>
      <c r="H69" s="77" t="e">
        <f>D69*G50</f>
        <v>#VALUE!</v>
      </c>
      <c r="I69" s="78" t="b">
        <f>IF(NOT(ISBLANK(E69)),TRUE)</f>
        <v>0</v>
      </c>
      <c r="J69" s="608"/>
      <c r="K69" s="608"/>
    </row>
    <row r="70" spans="1:11" ht="13" customHeight="1" x14ac:dyDescent="0.35">
      <c r="A70" s="220"/>
      <c r="B70" s="70"/>
      <c r="C70" s="409" t="s">
        <v>71</v>
      </c>
      <c r="D70" s="432"/>
      <c r="E70" s="433"/>
      <c r="F70" s="574" t="str">
        <f>IF(ISBLANK(E70),"","From "&amp;TEXT(E70,"DD/MM/YY")&amp;" year cost: "&amp;TEXT(G52+H70,"£#0.00"))</f>
        <v/>
      </c>
      <c r="G70" s="574"/>
      <c r="H70" s="77" t="e">
        <f>D70*G52</f>
        <v>#VALUE!</v>
      </c>
      <c r="I70" s="78" t="b">
        <f>IF(NOT(ISBLANK(E70)),TRUE)</f>
        <v>0</v>
      </c>
      <c r="J70" s="437"/>
      <c r="K70" s="437"/>
    </row>
    <row r="71" spans="1:11" ht="5.8" customHeight="1" x14ac:dyDescent="0.35">
      <c r="A71" s="220"/>
      <c r="B71" s="70"/>
      <c r="C71" s="52"/>
      <c r="D71" s="70" t="s">
        <v>350</v>
      </c>
      <c r="E71" s="78">
        <f>SUM('Business Running Costs'!$E$49:$E$65,'Business Running Costs'!$E$21:$E$25,'Business Running Costs'!$E$10:$E$16)</f>
        <v>0</v>
      </c>
      <c r="F71" s="78">
        <f>SUM('Business Running Costs'!$G$49:$G$65,'Business Running Costs'!$G$21:$G$25,'Business Running Costs'!$G$10:$G$16)</f>
        <v>0</v>
      </c>
      <c r="G71" s="70"/>
      <c r="H71" s="70"/>
      <c r="I71" s="70"/>
      <c r="J71" s="437"/>
      <c r="K71" s="437"/>
    </row>
    <row r="72" spans="1:11" ht="8.5" customHeight="1" x14ac:dyDescent="0.35">
      <c r="A72" s="220"/>
      <c r="B72" s="70"/>
      <c r="C72" s="410"/>
      <c r="D72" s="411" t="s">
        <v>351</v>
      </c>
      <c r="E72" s="198">
        <f>SUM('Business Running Costs'!$E$8:$E$9,'Business Running Costs'!$E$20,'Business Running Costs'!$E$30,'Business Running Costs'!$E$34:$E$45)</f>
        <v>0</v>
      </c>
      <c r="F72" s="405">
        <f>SUM('Business Running Costs'!$G$8:$G$9,'Business Running Costs'!$G$20,'Business Running Costs'!$G$30,'Business Running Costs'!$G$34:$G$45)</f>
        <v>0</v>
      </c>
      <c r="G72" s="405"/>
      <c r="H72" s="77"/>
      <c r="I72" s="78"/>
      <c r="J72" s="14"/>
      <c r="K72" s="14"/>
    </row>
    <row r="73" spans="1:11" ht="43.5" customHeight="1" x14ac:dyDescent="0.35">
      <c r="A73" s="220"/>
      <c r="B73" s="70"/>
      <c r="C73" s="52"/>
      <c r="D73" s="203" t="s">
        <v>89</v>
      </c>
      <c r="E73" s="381" t="s">
        <v>123</v>
      </c>
      <c r="F73" s="204" t="s">
        <v>200</v>
      </c>
      <c r="G73" s="201"/>
      <c r="H73" s="458"/>
      <c r="I73" s="70"/>
      <c r="J73" s="14"/>
      <c r="K73" s="14"/>
    </row>
    <row r="74" spans="1:11" ht="18.45" customHeight="1" x14ac:dyDescent="0.35">
      <c r="A74" s="220"/>
      <c r="B74" s="70"/>
      <c r="C74" s="205" t="s">
        <v>202</v>
      </c>
      <c r="D74" s="457">
        <f>E7</f>
        <v>0</v>
      </c>
      <c r="E74" s="105" t="str">
        <f>G7</f>
        <v/>
      </c>
      <c r="F74" s="356" t="e">
        <f>E74-D74</f>
        <v>#VALUE!</v>
      </c>
      <c r="G74" s="201"/>
      <c r="H74" s="458"/>
      <c r="I74" s="70"/>
      <c r="J74" s="14"/>
      <c r="K74" s="14"/>
    </row>
    <row r="75" spans="1:11" ht="18.45" customHeight="1" x14ac:dyDescent="0.35">
      <c r="A75" s="220"/>
      <c r="B75" s="70"/>
      <c r="C75" s="91" t="s">
        <v>201</v>
      </c>
      <c r="D75" s="457">
        <f>SUM(E8:E16)</f>
        <v>0</v>
      </c>
      <c r="E75" s="105">
        <f>IF(ISBLANK(G3),D75,SUM(G8:G16))</f>
        <v>0</v>
      </c>
      <c r="F75" s="199">
        <f>E75-D75</f>
        <v>0</v>
      </c>
      <c r="G75" s="201"/>
      <c r="H75" s="458"/>
      <c r="I75" s="70"/>
      <c r="J75" s="14"/>
      <c r="K75" s="14"/>
    </row>
    <row r="76" spans="1:11" ht="14.5" customHeight="1" x14ac:dyDescent="0.35">
      <c r="A76" s="220"/>
      <c r="B76" s="70"/>
      <c r="C76" s="91" t="s">
        <v>320</v>
      </c>
      <c r="D76" s="457">
        <f>E31</f>
        <v>0</v>
      </c>
      <c r="E76" s="105">
        <f>IF(ISBLANK(G3),D76,G31)</f>
        <v>0</v>
      </c>
      <c r="F76" s="199">
        <f t="shared" ref="F76:F79" si="9">E76-D76</f>
        <v>0</v>
      </c>
      <c r="G76" s="201"/>
      <c r="H76" s="458"/>
      <c r="I76" s="70"/>
      <c r="J76" s="14"/>
      <c r="K76" s="14"/>
    </row>
    <row r="77" spans="1:11" ht="14.5" customHeight="1" x14ac:dyDescent="0.35">
      <c r="A77" s="220"/>
      <c r="B77" s="70"/>
      <c r="C77" s="91" t="s">
        <v>318</v>
      </c>
      <c r="D77" s="457">
        <f>E46</f>
        <v>0</v>
      </c>
      <c r="E77" s="105">
        <f>IF(ISBLANK(G3),D77,G46)</f>
        <v>0</v>
      </c>
      <c r="F77" s="199">
        <f>E77-D77</f>
        <v>0</v>
      </c>
      <c r="G77" s="201"/>
      <c r="H77" s="458"/>
      <c r="I77" s="70"/>
      <c r="J77" s="14"/>
      <c r="K77" s="14"/>
    </row>
    <row r="78" spans="1:11" ht="14.5" customHeight="1" x14ac:dyDescent="0.35">
      <c r="A78" s="220"/>
      <c r="B78" s="70"/>
      <c r="C78" s="91" t="s">
        <v>319</v>
      </c>
      <c r="D78" s="457">
        <f>SUM(E49:E51)</f>
        <v>0</v>
      </c>
      <c r="E78" s="105">
        <f>IF(ISBLANK(G3),D78,SUM(G49:G51))</f>
        <v>0</v>
      </c>
      <c r="F78" s="199">
        <f t="shared" si="9"/>
        <v>0</v>
      </c>
      <c r="G78" s="202"/>
      <c r="H78" s="458"/>
      <c r="I78" s="70"/>
      <c r="J78" s="14"/>
      <c r="K78" s="14"/>
    </row>
    <row r="79" spans="1:11" ht="14.5" customHeight="1" x14ac:dyDescent="0.35">
      <c r="A79" s="220"/>
      <c r="B79" s="70"/>
      <c r="C79" s="91" t="s">
        <v>360</v>
      </c>
      <c r="D79" s="457">
        <f>(SUM(E52:E65))</f>
        <v>0</v>
      </c>
      <c r="E79" s="105">
        <f>IF(ISBLANK(G3),D79,(SUM(G52:G65)))</f>
        <v>0</v>
      </c>
      <c r="F79" s="199">
        <f t="shared" si="9"/>
        <v>0</v>
      </c>
      <c r="G79" s="201"/>
      <c r="H79" s="458"/>
      <c r="I79" s="70"/>
      <c r="J79" s="297"/>
      <c r="K79" s="14"/>
    </row>
    <row r="80" spans="1:11" x14ac:dyDescent="0.35">
      <c r="A80" s="220"/>
      <c r="B80" s="70"/>
      <c r="C80" s="94" t="s">
        <v>90</v>
      </c>
      <c r="D80" s="95">
        <f>SUM(D75:D79,D74)</f>
        <v>0</v>
      </c>
      <c r="E80" s="355">
        <f>SUM(E75:E79,E74)</f>
        <v>0</v>
      </c>
      <c r="F80" s="200">
        <f>E80-D80</f>
        <v>0</v>
      </c>
      <c r="G80" s="52"/>
      <c r="H80" s="70"/>
      <c r="I80" s="70"/>
      <c r="J80" s="52"/>
      <c r="K80" s="52"/>
    </row>
    <row r="81" spans="1:11" ht="8.5" customHeight="1" x14ac:dyDescent="0.35">
      <c r="A81" s="220"/>
      <c r="B81" s="70"/>
      <c r="C81" s="52"/>
      <c r="D81" s="52"/>
      <c r="E81" s="52"/>
      <c r="F81" s="52"/>
      <c r="G81" s="52"/>
      <c r="H81" s="70"/>
      <c r="I81" s="70"/>
      <c r="J81" s="52"/>
      <c r="K81" s="52"/>
    </row>
    <row r="82" spans="1:11" ht="14.6" x14ac:dyDescent="0.4">
      <c r="C82" s="565" t="s">
        <v>321</v>
      </c>
      <c r="D82" s="565"/>
      <c r="E82" s="565"/>
      <c r="F82" s="565"/>
      <c r="G82" s="565"/>
    </row>
    <row r="83" spans="1:11" x14ac:dyDescent="0.35">
      <c r="C83" s="65" t="str">
        <f>'Staffing Wages'!Q3&amp;" in business management roles"</f>
        <v>0 in business management roles</v>
      </c>
      <c r="D83" s="129"/>
    </row>
    <row r="84" spans="1:11" x14ac:dyDescent="0.35">
      <c r="C84" s="65" t="str">
        <f>'Staffing Wages'!Q6&amp;" in care management roles"</f>
        <v>0 in care management roles</v>
      </c>
      <c r="D84" s="129"/>
    </row>
    <row r="85" spans="1:11" x14ac:dyDescent="0.35">
      <c r="C85" s="65" t="str">
        <f>'Staffing Wages'!Q4&amp;" in face to face support roles"</f>
        <v>0 in face to face support roles</v>
      </c>
      <c r="D85" s="129"/>
    </row>
    <row r="86" spans="1:11" x14ac:dyDescent="0.35">
      <c r="C86" s="65" t="str">
        <f>'Staffing Wages'!Q5&amp;" in background suport roles"</f>
        <v>0 in background suport roles</v>
      </c>
      <c r="D86" s="129"/>
    </row>
  </sheetData>
  <sheetProtection algorithmName="SHA-512" hashValue="w8Ics6mVBuNIJlT86EPy/Z1KM8vsJTl9LyoSy0ybbVRysIAAdKBdeIAQkaKwrDqidTFXcZYtWrr9AEj4w10G/g==" saltValue="bhWl+NBaC82XsGLvCw6/cQ==" spinCount="100000" sheet="1" selectLockedCells="1"/>
  <mergeCells count="73">
    <mergeCell ref="F70:G70"/>
    <mergeCell ref="J66:K67"/>
    <mergeCell ref="J68:K69"/>
    <mergeCell ref="C55:D55"/>
    <mergeCell ref="C56:D56"/>
    <mergeCell ref="C57:D57"/>
    <mergeCell ref="C58:D58"/>
    <mergeCell ref="C59:D59"/>
    <mergeCell ref="C60:D60"/>
    <mergeCell ref="C61:D61"/>
    <mergeCell ref="C62:D62"/>
    <mergeCell ref="C63:D63"/>
    <mergeCell ref="C54:D54"/>
    <mergeCell ref="C37:D37"/>
    <mergeCell ref="J47:K48"/>
    <mergeCell ref="C49:D49"/>
    <mergeCell ref="C50:D50"/>
    <mergeCell ref="C39:D39"/>
    <mergeCell ref="C40:D40"/>
    <mergeCell ref="C41:D41"/>
    <mergeCell ref="C42:D42"/>
    <mergeCell ref="C43:D43"/>
    <mergeCell ref="C44:D44"/>
    <mergeCell ref="C45:D45"/>
    <mergeCell ref="C38:D38"/>
    <mergeCell ref="J8:K8"/>
    <mergeCell ref="G18:G19"/>
    <mergeCell ref="C51:D51"/>
    <mergeCell ref="C21:D21"/>
    <mergeCell ref="C22:D22"/>
    <mergeCell ref="C26:F26"/>
    <mergeCell ref="C27:D28"/>
    <mergeCell ref="C29:D29"/>
    <mergeCell ref="C30:D30"/>
    <mergeCell ref="C47:D48"/>
    <mergeCell ref="G47:G48"/>
    <mergeCell ref="C20:D20"/>
    <mergeCell ref="G27:G29"/>
    <mergeCell ref="C32:D33"/>
    <mergeCell ref="G32:G33"/>
    <mergeCell ref="C34:D34"/>
    <mergeCell ref="C5:D6"/>
    <mergeCell ref="G5:G6"/>
    <mergeCell ref="C1:G1"/>
    <mergeCell ref="J1:K1"/>
    <mergeCell ref="C2:G2"/>
    <mergeCell ref="J3:K3"/>
    <mergeCell ref="C7:D7"/>
    <mergeCell ref="C8:D8"/>
    <mergeCell ref="C9:D9"/>
    <mergeCell ref="C10:D10"/>
    <mergeCell ref="C11:D11"/>
    <mergeCell ref="C82:G82"/>
    <mergeCell ref="C14:D14"/>
    <mergeCell ref="C15:D15"/>
    <mergeCell ref="C18:D19"/>
    <mergeCell ref="C12:D12"/>
    <mergeCell ref="C13:D13"/>
    <mergeCell ref="F67:G67"/>
    <mergeCell ref="F68:G68"/>
    <mergeCell ref="F69:G69"/>
    <mergeCell ref="C52:D52"/>
    <mergeCell ref="C66:G66"/>
    <mergeCell ref="C35:D35"/>
    <mergeCell ref="C36:D36"/>
    <mergeCell ref="C64:D64"/>
    <mergeCell ref="C65:D65"/>
    <mergeCell ref="C53:D53"/>
    <mergeCell ref="C16:D16"/>
    <mergeCell ref="C23:D23"/>
    <mergeCell ref="C24:D24"/>
    <mergeCell ref="C25:D25"/>
    <mergeCell ref="J9:K9"/>
  </mergeCells>
  <conditionalFormatting sqref="J3:K3">
    <cfRule type="expression" dxfId="157" priority="82">
      <formula>ISBLANK($G$3)</formula>
    </cfRule>
  </conditionalFormatting>
  <conditionalFormatting sqref="J1:K1">
    <cfRule type="expression" dxfId="156" priority="81">
      <formula>ISBLANK($G$3)</formula>
    </cfRule>
  </conditionalFormatting>
  <conditionalFormatting sqref="D73:D80">
    <cfRule type="expression" dxfId="155" priority="80">
      <formula>"ISBLANK($G$3)"</formula>
    </cfRule>
  </conditionalFormatting>
  <conditionalFormatting sqref="J7">
    <cfRule type="expression" dxfId="154" priority="79">
      <formula>ISBLANK($G$3)</formula>
    </cfRule>
  </conditionalFormatting>
  <conditionalFormatting sqref="F30:G30 F47:F48 F27:F29 F32:F33 F80:G80 F5:G7 G8:G17 F11:F17 F34:G45 F49:G65 E73:G79">
    <cfRule type="expression" dxfId="153" priority="49">
      <formula>ISBLANK($G$3)</formula>
    </cfRule>
  </conditionalFormatting>
  <conditionalFormatting sqref="F27:F30 F5:F7 E73:E79 F11:F17 F32:F45 F47:F65">
    <cfRule type="expression" dxfId="152" priority="77">
      <formula>ISBLANK($G$3)</formula>
    </cfRule>
  </conditionalFormatting>
  <conditionalFormatting sqref="C26:F26">
    <cfRule type="expression" dxfId="151" priority="76">
      <formula>ISBLANK($G$3)</formula>
    </cfRule>
  </conditionalFormatting>
  <conditionalFormatting sqref="C30:G30 C27:F28 C29:D29 F29">
    <cfRule type="expression" dxfId="150" priority="4">
      <formula>$H$26=0</formula>
    </cfRule>
  </conditionalFormatting>
  <conditionalFormatting sqref="F20:G20">
    <cfRule type="expression" dxfId="149" priority="74">
      <formula>ISBLANK($G$3)</formula>
    </cfRule>
  </conditionalFormatting>
  <conditionalFormatting sqref="F20">
    <cfRule type="expression" dxfId="148" priority="73">
      <formula>ISBLANK($G$3)</formula>
    </cfRule>
  </conditionalFormatting>
  <conditionalFormatting sqref="F21:G21">
    <cfRule type="expression" dxfId="147" priority="72">
      <formula>ISBLANK($G$3)</formula>
    </cfRule>
  </conditionalFormatting>
  <conditionalFormatting sqref="F21">
    <cfRule type="expression" dxfId="146" priority="71">
      <formula>ISBLANK($G$3)</formula>
    </cfRule>
  </conditionalFormatting>
  <conditionalFormatting sqref="F22:G22">
    <cfRule type="expression" dxfId="145" priority="70">
      <formula>ISBLANK($G$3)</formula>
    </cfRule>
  </conditionalFormatting>
  <conditionalFormatting sqref="F22">
    <cfRule type="expression" dxfId="144" priority="69">
      <formula>ISBLANK($G$3)</formula>
    </cfRule>
  </conditionalFormatting>
  <conditionalFormatting sqref="F18:F19">
    <cfRule type="expression" dxfId="143" priority="68">
      <formula>ISBLANK($G$3)</formula>
    </cfRule>
  </conditionalFormatting>
  <conditionalFormatting sqref="F18:F19">
    <cfRule type="expression" dxfId="142" priority="67">
      <formula>ISBLANK($G$3)</formula>
    </cfRule>
  </conditionalFormatting>
  <conditionalFormatting sqref="F23:G23">
    <cfRule type="expression" dxfId="141" priority="66">
      <formula>ISBLANK($G$3)</formula>
    </cfRule>
  </conditionalFormatting>
  <conditionalFormatting sqref="F23">
    <cfRule type="expression" dxfId="140" priority="65">
      <formula>ISBLANK($G$3)</formula>
    </cfRule>
  </conditionalFormatting>
  <conditionalFormatting sqref="F24:G24">
    <cfRule type="expression" dxfId="139" priority="64">
      <formula>ISBLANK($G$3)</formula>
    </cfRule>
  </conditionalFormatting>
  <conditionalFormatting sqref="F24">
    <cfRule type="expression" dxfId="138" priority="63">
      <formula>ISBLANK($G$3)</formula>
    </cfRule>
  </conditionalFormatting>
  <conditionalFormatting sqref="F25:G25">
    <cfRule type="expression" dxfId="137" priority="62">
      <formula>ISBLANK($G$3)</formula>
    </cfRule>
  </conditionalFormatting>
  <conditionalFormatting sqref="F25">
    <cfRule type="expression" dxfId="136" priority="61">
      <formula>ISBLANK($G$3)</formula>
    </cfRule>
  </conditionalFormatting>
  <conditionalFormatting sqref="F73:F74">
    <cfRule type="expression" dxfId="135" priority="58">
      <formula>ISBLANK(G3)</formula>
    </cfRule>
  </conditionalFormatting>
  <conditionalFormatting sqref="G30 E7 G7:G17 E11:E17 E20:E26 G20:G25 E34:E45 G34:G45 E51:E65 G49:G65 E30">
    <cfRule type="expression" dxfId="134" priority="83">
      <formula>$G7&lt;$E7</formula>
    </cfRule>
    <cfRule type="expression" dxfId="133" priority="84">
      <formula>$G7&gt;$E7</formula>
    </cfRule>
  </conditionalFormatting>
  <conditionalFormatting sqref="G27:G29">
    <cfRule type="expression" dxfId="132" priority="53">
      <formula>$H$26=0</formula>
    </cfRule>
    <cfRule type="expression" dxfId="131" priority="54">
      <formula>ISBLANK($G$3)</formula>
    </cfRule>
  </conditionalFormatting>
  <conditionalFormatting sqref="F74:F80">
    <cfRule type="expression" dxfId="130" priority="50">
      <formula>$F74&gt;0</formula>
    </cfRule>
    <cfRule type="expression" dxfId="129" priority="51">
      <formula>$F74&lt;0</formula>
    </cfRule>
  </conditionalFormatting>
  <conditionalFormatting sqref="F74">
    <cfRule type="expression" dxfId="128" priority="47">
      <formula>$F74&gt;0</formula>
    </cfRule>
    <cfRule type="expression" dxfId="127" priority="48">
      <formula>$F74&lt;0</formula>
    </cfRule>
  </conditionalFormatting>
  <conditionalFormatting sqref="F8:F10">
    <cfRule type="expression" dxfId="126" priority="32">
      <formula>ISBLANK($G$3)</formula>
    </cfRule>
  </conditionalFormatting>
  <conditionalFormatting sqref="F10">
    <cfRule type="expression" dxfId="125" priority="31">
      <formula>ISBLANK($G$3)</formula>
    </cfRule>
  </conditionalFormatting>
  <conditionalFormatting sqref="E49:E50">
    <cfRule type="expression" dxfId="124" priority="22">
      <formula>$G49&lt;$E49</formula>
    </cfRule>
    <cfRule type="expression" dxfId="123" priority="33">
      <formula>$G49&gt;$E49</formula>
    </cfRule>
  </conditionalFormatting>
  <conditionalFormatting sqref="E7">
    <cfRule type="expression" dxfId="122" priority="20">
      <formula>ISBLANK($G$3)</formula>
    </cfRule>
  </conditionalFormatting>
  <conditionalFormatting sqref="G18:G19">
    <cfRule type="expression" dxfId="121" priority="19">
      <formula>ISBLANK($G$3)</formula>
    </cfRule>
  </conditionalFormatting>
  <conditionalFormatting sqref="G47:G48">
    <cfRule type="expression" dxfId="120" priority="18">
      <formula>ISBLANK($G$3)</formula>
    </cfRule>
  </conditionalFormatting>
  <conditionalFormatting sqref="G32:G33">
    <cfRule type="expression" dxfId="119" priority="17">
      <formula>ISBLANK($G$3)</formula>
    </cfRule>
  </conditionalFormatting>
  <conditionalFormatting sqref="E80">
    <cfRule type="expression" dxfId="118" priority="6">
      <formula>ISBLANK($G$3)</formula>
    </cfRule>
  </conditionalFormatting>
  <conditionalFormatting sqref="E80">
    <cfRule type="expression" dxfId="117" priority="7">
      <formula>ISBLANK($G$3)</formula>
    </cfRule>
  </conditionalFormatting>
  <conditionalFormatting sqref="E3">
    <cfRule type="expression" dxfId="116" priority="5">
      <formula>AND($E$3=0,$G$3&gt;0)</formula>
    </cfRule>
  </conditionalFormatting>
  <conditionalFormatting sqref="E8:E16 E20:E25 E30 E34:E45 E49:E65">
    <cfRule type="expression" dxfId="115" priority="21">
      <formula>$G$3=0</formula>
    </cfRule>
  </conditionalFormatting>
  <conditionalFormatting sqref="E29">
    <cfRule type="expression" dxfId="114" priority="1">
      <formula>$G$26="no"</formula>
    </cfRule>
  </conditionalFormatting>
  <conditionalFormatting sqref="E8:E10">
    <cfRule type="expression" dxfId="113" priority="34">
      <formula>$G8&lt;$E8</formula>
    </cfRule>
    <cfRule type="expression" dxfId="112" priority="75">
      <formula>$G8&gt;$E8</formula>
    </cfRule>
  </conditionalFormatting>
  <dataValidations disablePrompts="1" count="3">
    <dataValidation type="list" allowBlank="1" showInputMessage="1" showErrorMessage="1" sqref="G26" xr:uid="{0AC16559-7B67-494F-BCE2-814BD4EF4128}">
      <formula1>"yes,no"</formula1>
    </dataValidation>
    <dataValidation type="list" allowBlank="1" showInputMessage="1" showErrorMessage="1" sqref="B20:B25 B30:B45 B49:B71" xr:uid="{B850AD54-B8D2-46DC-B280-9655B3416178}">
      <formula1>"direct care, suports care delivery, business"</formula1>
    </dataValidation>
    <dataValidation allowBlank="1" showInputMessage="1" showErrorMessage="1" promptTitle="Date Entry" prompt="Dates should be enterd using a forward slash as the separator (dd/mm/yyyy)" sqref="E3 G3" xr:uid="{FADB2881-7226-4DC7-950B-9FCB09D42415}"/>
  </dataValidations>
  <hyperlinks>
    <hyperlink ref="C82:G82" location="'Development &amp; Sustainability'!A1" display="Now fill in/ update the development and sustainability tab" xr:uid="{F762C897-AC2B-4E5F-8291-F985691AEACB}"/>
  </hyperlinks>
  <pageMargins left="0.25" right="0.25" top="0.75" bottom="0.75" header="0.3" footer="0.3"/>
  <pageSetup paperSize="9" orientation="portrait" r:id="rId1"/>
  <headerFooter>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6652E-E4F8-4123-A9B2-0297DE9185BF}">
  <sheetPr>
    <tabColor rgb="FF00B0F0"/>
  </sheetPr>
  <dimension ref="A1:K89"/>
  <sheetViews>
    <sheetView view="pageLayout" zoomScale="110" zoomScaleNormal="100" zoomScalePageLayoutView="110" workbookViewId="0">
      <selection activeCell="J8" sqref="J8"/>
    </sheetView>
  </sheetViews>
  <sheetFormatPr defaultColWidth="8.69140625" defaultRowHeight="12.9" x14ac:dyDescent="0.35"/>
  <cols>
    <col min="1" max="1" width="0.84375" style="148" customWidth="1"/>
    <col min="2" max="2" width="1.23046875" style="148" customWidth="1"/>
    <col min="3" max="3" width="24.53515625" style="148" customWidth="1"/>
    <col min="4" max="7" width="17.53515625" style="148" customWidth="1"/>
    <col min="8" max="8" width="1.23046875" style="148" customWidth="1"/>
    <col min="9" max="9" width="0.84375" style="148" customWidth="1"/>
    <col min="10" max="11" width="48.53515625" style="148" customWidth="1"/>
    <col min="12" max="16384" width="8.69140625" style="148"/>
  </cols>
  <sheetData>
    <row r="1" spans="1:11" ht="42" customHeight="1" x14ac:dyDescent="0.35">
      <c r="A1" s="52"/>
      <c r="B1" s="52"/>
      <c r="C1" s="585" t="s">
        <v>130</v>
      </c>
      <c r="D1" s="585"/>
      <c r="E1" s="585"/>
      <c r="F1" s="585"/>
      <c r="G1" s="585"/>
      <c r="H1" s="69"/>
      <c r="I1" s="70"/>
      <c r="J1" s="52"/>
      <c r="K1" s="52"/>
    </row>
    <row r="2" spans="1:11" ht="30.55" customHeight="1" thickBot="1" x14ac:dyDescent="0.4">
      <c r="A2" s="52"/>
      <c r="B2" s="52"/>
      <c r="C2" s="586" t="s">
        <v>401</v>
      </c>
      <c r="D2" s="586"/>
      <c r="E2" s="586"/>
      <c r="F2" s="586"/>
      <c r="G2" s="586"/>
      <c r="H2" s="69"/>
      <c r="I2" s="70"/>
      <c r="J2" s="52"/>
      <c r="K2" s="52"/>
    </row>
    <row r="3" spans="1:11" ht="50.05" customHeight="1" x14ac:dyDescent="0.35">
      <c r="A3" s="52"/>
      <c r="B3" s="52"/>
      <c r="C3" s="619" t="s">
        <v>132</v>
      </c>
      <c r="D3" s="620"/>
      <c r="E3" s="627" t="s">
        <v>260</v>
      </c>
      <c r="F3" s="627"/>
      <c r="G3" s="628"/>
      <c r="H3" s="131"/>
      <c r="I3" s="131"/>
      <c r="J3" s="612" t="s">
        <v>377</v>
      </c>
      <c r="K3" s="612"/>
    </row>
    <row r="4" spans="1:11" ht="23.05" customHeight="1" x14ac:dyDescent="0.35">
      <c r="A4" s="52"/>
      <c r="B4" s="52"/>
      <c r="C4" s="629" t="str">
        <f>"Profit expectation and/or contribution to reserves per "&amp;(IF('About your business'!F10=TRUE,"bed","package of care"))&amp;", per "&amp;'About your business'!F16&amp;"  (%)"</f>
        <v>Profit expectation and/or contribution to reserves per bed, per month  (%)</v>
      </c>
      <c r="D4" s="630"/>
      <c r="E4" s="630"/>
      <c r="F4" s="630"/>
      <c r="G4" s="359"/>
      <c r="H4" s="52"/>
      <c r="I4" s="52"/>
      <c r="J4" s="445"/>
      <c r="K4" s="136"/>
    </row>
    <row r="5" spans="1:11" ht="43" customHeight="1" x14ac:dyDescent="0.35">
      <c r="A5" s="52"/>
      <c r="B5" s="52"/>
      <c r="C5" s="631" t="s">
        <v>261</v>
      </c>
      <c r="D5" s="632"/>
      <c r="E5" s="632"/>
      <c r="F5" s="632"/>
      <c r="G5" s="633"/>
      <c r="H5" s="69"/>
      <c r="I5" s="70"/>
      <c r="J5" s="136"/>
      <c r="K5" s="136"/>
    </row>
    <row r="6" spans="1:11" ht="14.15" customHeight="1" x14ac:dyDescent="0.35">
      <c r="A6" s="52"/>
      <c r="B6" s="52"/>
      <c r="C6" s="626" t="s">
        <v>257</v>
      </c>
      <c r="D6" s="616"/>
      <c r="E6" s="616"/>
      <c r="F6" s="616"/>
      <c r="G6" s="443"/>
      <c r="H6" s="69"/>
      <c r="I6" s="70"/>
      <c r="J6" s="136"/>
      <c r="K6" s="136"/>
    </row>
    <row r="7" spans="1:11" ht="14.15" customHeight="1" x14ac:dyDescent="0.35">
      <c r="A7" s="52"/>
      <c r="B7" s="52"/>
      <c r="C7" s="626" t="s">
        <v>258</v>
      </c>
      <c r="D7" s="616"/>
      <c r="E7" s="616"/>
      <c r="F7" s="616"/>
      <c r="G7" s="443"/>
      <c r="H7" s="69"/>
      <c r="I7" s="70"/>
      <c r="J7" s="136"/>
      <c r="K7" s="136"/>
    </row>
    <row r="8" spans="1:11" ht="14.15" customHeight="1" x14ac:dyDescent="0.35">
      <c r="A8" s="52"/>
      <c r="B8" s="52"/>
      <c r="C8" s="626" t="s">
        <v>259</v>
      </c>
      <c r="D8" s="616"/>
      <c r="E8" s="616"/>
      <c r="F8" s="616"/>
      <c r="G8" s="443"/>
      <c r="H8" s="69"/>
      <c r="I8" s="70"/>
      <c r="J8" s="136"/>
      <c r="K8" s="136"/>
    </row>
    <row r="9" spans="1:11" x14ac:dyDescent="0.35">
      <c r="A9" s="52"/>
      <c r="B9" s="52"/>
      <c r="C9" s="626" t="s">
        <v>131</v>
      </c>
      <c r="D9" s="616"/>
      <c r="E9" s="616"/>
      <c r="F9" s="616"/>
      <c r="G9" s="443"/>
      <c r="H9" s="52"/>
      <c r="I9" s="52"/>
      <c r="J9" s="445"/>
      <c r="K9" s="136"/>
    </row>
    <row r="10" spans="1:11" ht="66.55" customHeight="1" x14ac:dyDescent="0.35">
      <c r="A10" s="52"/>
      <c r="B10" s="52"/>
      <c r="C10" s="639" t="s">
        <v>402</v>
      </c>
      <c r="D10" s="639"/>
      <c r="E10" s="639"/>
      <c r="F10" s="639"/>
      <c r="G10" s="639"/>
      <c r="H10" s="69"/>
      <c r="I10" s="70"/>
      <c r="J10" s="136"/>
      <c r="K10" s="136"/>
    </row>
    <row r="11" spans="1:11" ht="23.5" customHeight="1" x14ac:dyDescent="0.35">
      <c r="A11" s="52"/>
      <c r="B11" s="52"/>
      <c r="C11" s="638" t="s">
        <v>113</v>
      </c>
      <c r="D11" s="638"/>
      <c r="E11" s="379"/>
      <c r="F11" s="379"/>
      <c r="G11" s="379"/>
      <c r="H11" s="69"/>
      <c r="I11" s="70"/>
      <c r="J11" s="136"/>
      <c r="K11" s="136"/>
    </row>
    <row r="12" spans="1:11" ht="31" customHeight="1" x14ac:dyDescent="0.35">
      <c r="A12" s="52"/>
      <c r="B12" s="52"/>
      <c r="C12" s="97" t="s">
        <v>122</v>
      </c>
      <c r="D12" s="98" t="s">
        <v>68</v>
      </c>
      <c r="E12" s="99"/>
      <c r="F12" s="98" t="s">
        <v>69</v>
      </c>
      <c r="G12" s="460"/>
      <c r="H12" s="68"/>
      <c r="I12" s="70"/>
      <c r="J12" s="634"/>
      <c r="K12" s="634"/>
    </row>
    <row r="13" spans="1:11" ht="14.05" customHeight="1" x14ac:dyDescent="0.35">
      <c r="A13" s="52"/>
      <c r="B13" s="52"/>
      <c r="C13" s="621"/>
      <c r="D13" s="622"/>
      <c r="E13" s="82" t="s">
        <v>66</v>
      </c>
      <c r="F13" s="381" t="str">
        <f>IF(NOT((ISBLANK('Development &amp; Sustainability'!G12))),"User defined time period:","")</f>
        <v/>
      </c>
      <c r="G13" s="637" t="s">
        <v>91</v>
      </c>
      <c r="H13" s="50">
        <f>IF(OR((ISBLANK(E12)),(ISBLANK(G12))),0,SUM($G$12-$E$12))</f>
        <v>0</v>
      </c>
      <c r="I13" s="70"/>
      <c r="J13" s="14"/>
      <c r="K13" s="14"/>
    </row>
    <row r="14" spans="1:11" ht="15.75" customHeight="1" x14ac:dyDescent="0.35">
      <c r="A14" s="52"/>
      <c r="B14" s="52"/>
      <c r="C14" s="621"/>
      <c r="D14" s="622"/>
      <c r="E14" s="84" t="s">
        <v>65</v>
      </c>
      <c r="F14" s="111" t="str">
        <f>SUM($G$12-$E$12)&amp;" days"</f>
        <v>0 days</v>
      </c>
      <c r="G14" s="637"/>
      <c r="H14" s="50"/>
      <c r="I14" s="70"/>
      <c r="J14" s="14"/>
      <c r="K14" s="14"/>
    </row>
    <row r="15" spans="1:11" x14ac:dyDescent="0.35">
      <c r="A15" s="52"/>
      <c r="B15" s="52"/>
      <c r="C15" s="615" t="s">
        <v>114</v>
      </c>
      <c r="D15" s="615"/>
      <c r="E15" s="107"/>
      <c r="F15" s="107"/>
      <c r="G15" s="151" t="str">
        <f>IF(($H$13=0),"",IF(ISBLANK(F15),E15,((F15*('Staffing Wages'!$X$3/$H$13)))))</f>
        <v/>
      </c>
      <c r="H15" s="77">
        <f>(E15/'Staffing Wages'!$J$3)*$H$13</f>
        <v>0</v>
      </c>
      <c r="I15" s="78" t="e">
        <f>E15-G15</f>
        <v>#VALUE!</v>
      </c>
      <c r="J15" s="14"/>
      <c r="K15" s="14"/>
    </row>
    <row r="16" spans="1:11" x14ac:dyDescent="0.35">
      <c r="A16" s="52"/>
      <c r="B16" s="52"/>
      <c r="C16" s="615" t="s">
        <v>403</v>
      </c>
      <c r="D16" s="615"/>
      <c r="E16" s="107"/>
      <c r="F16" s="79"/>
      <c r="G16" s="151" t="str">
        <f>IF(($H$13=0),"",IF(ISBLANK(F16),E16,((F16*('Staffing Wages'!$X$3/$H$13)))))</f>
        <v/>
      </c>
      <c r="H16" s="77">
        <f>(E16/'Staffing Wages'!$J$3)*$H$13</f>
        <v>0</v>
      </c>
      <c r="I16" s="78" t="e">
        <f t="shared" ref="I16:I25" si="0">E16-G16</f>
        <v>#VALUE!</v>
      </c>
      <c r="J16" s="14"/>
      <c r="K16" s="14"/>
    </row>
    <row r="17" spans="1:11" x14ac:dyDescent="0.35">
      <c r="A17" s="52"/>
      <c r="B17" s="52"/>
      <c r="C17" s="615" t="s">
        <v>110</v>
      </c>
      <c r="D17" s="615"/>
      <c r="E17" s="107"/>
      <c r="F17" s="79"/>
      <c r="G17" s="151" t="str">
        <f>IF(($H$13=0),"",IF(ISBLANK(F17),E17,((F17*('Staffing Wages'!$X$3/$H$13)))))</f>
        <v/>
      </c>
      <c r="H17" s="77">
        <f>(E17/'Staffing Wages'!$J$3)*$H$13</f>
        <v>0</v>
      </c>
      <c r="I17" s="78" t="e">
        <f t="shared" si="0"/>
        <v>#VALUE!</v>
      </c>
      <c r="J17" s="14"/>
      <c r="K17" s="14"/>
    </row>
    <row r="18" spans="1:11" x14ac:dyDescent="0.35">
      <c r="A18" s="52"/>
      <c r="B18" s="52"/>
      <c r="C18" s="615" t="s">
        <v>111</v>
      </c>
      <c r="D18" s="615"/>
      <c r="E18" s="107"/>
      <c r="F18" s="79"/>
      <c r="G18" s="151" t="str">
        <f>IF(($H$13=0),"",IF(ISBLANK(F18),E18,((F18*('Staffing Wages'!$X$3/$H$13)))))</f>
        <v/>
      </c>
      <c r="H18" s="77">
        <f>(E18/'Staffing Wages'!$J$3)*$H$13</f>
        <v>0</v>
      </c>
      <c r="I18" s="78" t="e">
        <f t="shared" si="0"/>
        <v>#VALUE!</v>
      </c>
      <c r="J18" s="14"/>
      <c r="K18" s="14"/>
    </row>
    <row r="19" spans="1:11" x14ac:dyDescent="0.35">
      <c r="A19" s="52"/>
      <c r="B19" s="52"/>
      <c r="C19" s="615" t="s">
        <v>112</v>
      </c>
      <c r="D19" s="615"/>
      <c r="E19" s="107"/>
      <c r="F19" s="79"/>
      <c r="G19" s="151" t="str">
        <f>IF(($H$13=0),"",IF(ISBLANK(F19),E19,((F19*('Staffing Wages'!$X$3/$H$13)))))</f>
        <v/>
      </c>
      <c r="H19" s="77">
        <f>(E19/'Staffing Wages'!$J$3)*$H$13</f>
        <v>0</v>
      </c>
      <c r="I19" s="78" t="e">
        <f t="shared" si="0"/>
        <v>#VALUE!</v>
      </c>
      <c r="J19" s="14"/>
      <c r="K19" s="14"/>
    </row>
    <row r="20" spans="1:11" x14ac:dyDescent="0.35">
      <c r="A20" s="52"/>
      <c r="B20" s="52"/>
      <c r="C20" s="614" t="s">
        <v>397</v>
      </c>
      <c r="D20" s="614"/>
      <c r="E20" s="107"/>
      <c r="F20" s="79"/>
      <c r="G20" s="151" t="str">
        <f>IF(($H$13=0),"",IF(ISBLANK(F20),E20,((F20*('Staffing Wages'!$X$3/$H$13)))))</f>
        <v/>
      </c>
      <c r="H20" s="77">
        <f>(E20/'Staffing Wages'!$J$3)*$H$13</f>
        <v>0</v>
      </c>
      <c r="I20" s="78" t="e">
        <f t="shared" si="0"/>
        <v>#VALUE!</v>
      </c>
      <c r="J20" s="14"/>
      <c r="K20" s="14"/>
    </row>
    <row r="21" spans="1:11" x14ac:dyDescent="0.35">
      <c r="A21" s="52"/>
      <c r="B21" s="52"/>
      <c r="C21" s="580" t="s">
        <v>121</v>
      </c>
      <c r="D21" s="580"/>
      <c r="E21" s="107"/>
      <c r="F21" s="79"/>
      <c r="G21" s="151" t="str">
        <f>IF(($H$13=0),"",IF(ISBLANK(F21),E21,((F21*('Staffing Wages'!$X$3/$H$13)))))</f>
        <v/>
      </c>
      <c r="H21" s="77">
        <f>(E21/'Staffing Wages'!$J$3)*$H$13</f>
        <v>0</v>
      </c>
      <c r="I21" s="78" t="e">
        <f t="shared" si="0"/>
        <v>#VALUE!</v>
      </c>
      <c r="J21" s="14"/>
      <c r="K21" s="14"/>
    </row>
    <row r="22" spans="1:11" x14ac:dyDescent="0.35">
      <c r="A22" s="52"/>
      <c r="B22" s="52"/>
      <c r="C22" s="625" t="s">
        <v>115</v>
      </c>
      <c r="D22" s="625"/>
      <c r="E22" s="107"/>
      <c r="F22" s="79"/>
      <c r="G22" s="151" t="str">
        <f>IF(($H$13=0),"",IF(ISBLANK(F22),E22,((F22*('Staffing Wages'!$X$3/$H$13)))))</f>
        <v/>
      </c>
      <c r="H22" s="77">
        <f>(E22/'Staffing Wages'!$J$3)*$H$13</f>
        <v>0</v>
      </c>
      <c r="I22" s="78" t="e">
        <f t="shared" si="0"/>
        <v>#VALUE!</v>
      </c>
      <c r="J22" s="14"/>
      <c r="K22" s="14"/>
    </row>
    <row r="23" spans="1:11" x14ac:dyDescent="0.35">
      <c r="A23" s="52"/>
      <c r="B23" s="52"/>
      <c r="C23" s="616" t="s">
        <v>116</v>
      </c>
      <c r="D23" s="616"/>
      <c r="E23" s="107"/>
      <c r="F23" s="79"/>
      <c r="G23" s="151" t="str">
        <f>IF(($H$13=0),"",IF(ISBLANK(F23),E23,((F23*('Staffing Wages'!$X$3/$H$13)))))</f>
        <v/>
      </c>
      <c r="H23" s="77">
        <f>(E23/'Staffing Wages'!$J$3)*$H$13</f>
        <v>0</v>
      </c>
      <c r="I23" s="78" t="e">
        <f t="shared" si="0"/>
        <v>#VALUE!</v>
      </c>
      <c r="J23" s="14"/>
      <c r="K23" s="14"/>
    </row>
    <row r="24" spans="1:11" x14ac:dyDescent="0.35">
      <c r="A24" s="52"/>
      <c r="B24" s="52"/>
      <c r="C24" s="616" t="s">
        <v>117</v>
      </c>
      <c r="D24" s="616"/>
      <c r="E24" s="107"/>
      <c r="F24" s="79"/>
      <c r="G24" s="151" t="str">
        <f>IF(($H$13=0),"",IF(ISBLANK(F24),E24,((F24*('Staffing Wages'!$X$3/$H$13)))))</f>
        <v/>
      </c>
      <c r="H24" s="77">
        <f>(E24/'Staffing Wages'!$J$3)*$H$13</f>
        <v>0</v>
      </c>
      <c r="I24" s="78" t="e">
        <f t="shared" si="0"/>
        <v>#VALUE!</v>
      </c>
      <c r="J24" s="14"/>
      <c r="K24" s="14"/>
    </row>
    <row r="25" spans="1:11" x14ac:dyDescent="0.35">
      <c r="A25" s="52"/>
      <c r="B25" s="52"/>
      <c r="C25" s="616" t="s">
        <v>118</v>
      </c>
      <c r="D25" s="616"/>
      <c r="E25" s="107"/>
      <c r="F25" s="79"/>
      <c r="G25" s="151" t="str">
        <f>IF(($H$13=0),"",IF(ISBLANK(F25),E25,((F25*('Staffing Wages'!$X$3/$H$13)))))</f>
        <v/>
      </c>
      <c r="H25" s="77">
        <f>(E25/'Staffing Wages'!$J$3)*$H$13</f>
        <v>0</v>
      </c>
      <c r="I25" s="78" t="e">
        <f t="shared" si="0"/>
        <v>#VALUE!</v>
      </c>
      <c r="J25" s="14"/>
      <c r="K25" s="14"/>
    </row>
    <row r="26" spans="1:11" x14ac:dyDescent="0.35">
      <c r="A26" s="52"/>
      <c r="B26" s="52"/>
      <c r="C26" s="149"/>
      <c r="D26" s="149"/>
      <c r="E26" s="198">
        <f>SUM(E15:E25)</f>
        <v>0</v>
      </c>
      <c r="F26" s="198"/>
      <c r="G26" s="198">
        <f>IF(ISBLANK(G12),D40,SUM(G15:G25))</f>
        <v>0</v>
      </c>
      <c r="H26" s="77"/>
      <c r="I26" s="78"/>
      <c r="J26" s="14"/>
      <c r="K26" s="14"/>
    </row>
    <row r="27" spans="1:11" ht="22" customHeight="1" x14ac:dyDescent="0.35">
      <c r="A27" s="52"/>
      <c r="B27" s="52"/>
      <c r="C27" s="617" t="s">
        <v>156</v>
      </c>
      <c r="D27" s="617"/>
      <c r="E27" s="80"/>
      <c r="F27" s="80"/>
      <c r="G27" s="80"/>
      <c r="H27" s="77"/>
      <c r="I27" s="70"/>
      <c r="J27" s="14"/>
      <c r="K27" s="14"/>
    </row>
    <row r="28" spans="1:11" ht="27" customHeight="1" x14ac:dyDescent="0.35">
      <c r="A28" s="52"/>
      <c r="B28" s="52"/>
      <c r="C28" s="108" t="s">
        <v>122</v>
      </c>
      <c r="D28" s="109" t="s">
        <v>68</v>
      </c>
      <c r="E28" s="99">
        <v>37622</v>
      </c>
      <c r="F28" s="98" t="s">
        <v>69</v>
      </c>
      <c r="G28" s="99"/>
      <c r="H28" s="101"/>
      <c r="I28" s="70"/>
      <c r="J28" s="136"/>
      <c r="K28" s="136"/>
    </row>
    <row r="29" spans="1:11" ht="14.5" customHeight="1" x14ac:dyDescent="0.35">
      <c r="A29" s="52"/>
      <c r="B29" s="52"/>
      <c r="C29" s="621"/>
      <c r="D29" s="622"/>
      <c r="E29" s="382" t="s">
        <v>66</v>
      </c>
      <c r="F29" s="361" t="s">
        <v>70</v>
      </c>
      <c r="G29" s="623" t="s">
        <v>91</v>
      </c>
      <c r="H29" s="102">
        <f>IF(OR((ISBLANK(E28)),(ISBLANK(G28))),0,SUM(G28-E28))</f>
        <v>0</v>
      </c>
      <c r="I29" s="70"/>
      <c r="J29" s="14"/>
      <c r="K29" s="14"/>
    </row>
    <row r="30" spans="1:11" ht="13.3" thickBot="1" x14ac:dyDescent="0.4">
      <c r="A30" s="52"/>
      <c r="B30" s="70" t="s">
        <v>77</v>
      </c>
      <c r="C30" s="621"/>
      <c r="D30" s="622"/>
      <c r="E30" s="383" t="s">
        <v>65</v>
      </c>
      <c r="F30" s="106" t="str">
        <f>SUM(G28-E28)&amp;" days"</f>
        <v>-37622 days</v>
      </c>
      <c r="G30" s="624"/>
      <c r="H30" s="70"/>
      <c r="I30" s="70"/>
      <c r="J30" s="14"/>
      <c r="K30" s="14"/>
    </row>
    <row r="31" spans="1:11" x14ac:dyDescent="0.35">
      <c r="A31" s="52"/>
      <c r="B31" s="52"/>
      <c r="C31" s="571" t="s">
        <v>120</v>
      </c>
      <c r="D31" s="571"/>
      <c r="E31" s="107"/>
      <c r="F31" s="444"/>
      <c r="G31" s="103" t="str">
        <f>IF(($H$29=0),"",IF(ISBLANK(F31),E31,((F31*('Staffing Wages'!$X$3/$H$29)))))</f>
        <v/>
      </c>
      <c r="H31" s="77">
        <f>(E31/'Staffing Wages'!$X$3)*$H$29</f>
        <v>0</v>
      </c>
      <c r="I31" s="104"/>
      <c r="J31" s="14"/>
      <c r="K31" s="14"/>
    </row>
    <row r="32" spans="1:11" x14ac:dyDescent="0.35">
      <c r="A32" s="52"/>
      <c r="B32" s="52"/>
      <c r="C32" s="571" t="s">
        <v>119</v>
      </c>
      <c r="D32" s="571"/>
      <c r="E32" s="107"/>
      <c r="F32" s="444"/>
      <c r="G32" s="103" t="str">
        <f>IF(($H$29=0),"",IF(ISBLANK(F32),E32,((F32*('Staffing Wages'!$X$3/$H$29)))))</f>
        <v/>
      </c>
      <c r="H32" s="77">
        <f>(E32/'Staffing Wages'!$X$3)*$H$29</f>
        <v>0</v>
      </c>
      <c r="I32" s="78"/>
      <c r="J32" s="14"/>
      <c r="K32" s="14"/>
    </row>
    <row r="33" spans="1:11" x14ac:dyDescent="0.35">
      <c r="A33" s="52"/>
      <c r="B33" s="52"/>
      <c r="C33" s="616" t="s">
        <v>184</v>
      </c>
      <c r="D33" s="616"/>
      <c r="E33" s="107"/>
      <c r="F33" s="444"/>
      <c r="G33" s="103" t="str">
        <f>IF(($H$29=0),"",IF(ISBLANK(F33),E33,((F33*('Staffing Wages'!$X$3/$H$29)))))</f>
        <v/>
      </c>
      <c r="H33" s="77">
        <f>(E33/'Staffing Wages'!$X$3)*$H$29</f>
        <v>0</v>
      </c>
      <c r="I33" s="78" t="e">
        <f t="shared" ref="I33:I37" si="1">E33-G33</f>
        <v>#VALUE!</v>
      </c>
      <c r="J33" s="14"/>
      <c r="K33" s="14"/>
    </row>
    <row r="34" spans="1:11" x14ac:dyDescent="0.35">
      <c r="A34" s="52"/>
      <c r="B34" s="52"/>
      <c r="C34" s="616" t="s">
        <v>185</v>
      </c>
      <c r="D34" s="616"/>
      <c r="E34" s="107"/>
      <c r="F34" s="444"/>
      <c r="G34" s="103" t="str">
        <f>IF(($H$29=0),"",IF(ISBLANK(F34),E34,((F34*('Staffing Wages'!$X$3/$H$29)))))</f>
        <v/>
      </c>
      <c r="H34" s="77">
        <f>(E34/'Staffing Wages'!$X$3)*$H$29</f>
        <v>0</v>
      </c>
      <c r="I34" s="78" t="e">
        <f t="shared" si="1"/>
        <v>#VALUE!</v>
      </c>
      <c r="J34" s="14"/>
      <c r="K34" s="14"/>
    </row>
    <row r="35" spans="1:11" x14ac:dyDescent="0.35">
      <c r="A35" s="52"/>
      <c r="B35" s="52"/>
      <c r="C35" s="616" t="s">
        <v>186</v>
      </c>
      <c r="D35" s="616"/>
      <c r="E35" s="107"/>
      <c r="F35" s="444"/>
      <c r="G35" s="103" t="str">
        <f>IF(($H$29=0),"",IF(ISBLANK(F35),E35,((F35*('Staffing Wages'!$X$3/$H$29)))))</f>
        <v/>
      </c>
      <c r="H35" s="77">
        <f>(E35/'Staffing Wages'!$X$3)*$H$29</f>
        <v>0</v>
      </c>
      <c r="I35" s="78" t="e">
        <f t="shared" si="1"/>
        <v>#VALUE!</v>
      </c>
      <c r="J35" s="14"/>
      <c r="K35" s="14"/>
    </row>
    <row r="36" spans="1:11" x14ac:dyDescent="0.35">
      <c r="A36" s="52"/>
      <c r="B36" s="52"/>
      <c r="C36" s="616" t="s">
        <v>187</v>
      </c>
      <c r="D36" s="616"/>
      <c r="E36" s="107"/>
      <c r="F36" s="444"/>
      <c r="G36" s="103" t="str">
        <f>IF(($H$29=0),"",IF(ISBLANK(F36),E36,((F36*('Staffing Wages'!$X$3/$H$29)))))</f>
        <v/>
      </c>
      <c r="H36" s="77">
        <f>(E36/'Staffing Wages'!$X$3)*$H$29</f>
        <v>0</v>
      </c>
      <c r="I36" s="78" t="e">
        <f t="shared" si="1"/>
        <v>#VALUE!</v>
      </c>
      <c r="J36" s="14"/>
      <c r="K36" s="14"/>
    </row>
    <row r="37" spans="1:11" ht="8.5" customHeight="1" x14ac:dyDescent="0.35">
      <c r="A37" s="52"/>
      <c r="B37" s="52"/>
      <c r="C37" s="85"/>
      <c r="D37" s="85" t="s">
        <v>90</v>
      </c>
      <c r="E37" s="86">
        <f>SUM(E31:E36)</f>
        <v>0</v>
      </c>
      <c r="F37" s="87">
        <v>1</v>
      </c>
      <c r="G37" s="88">
        <f>IF(ISBLANK(G28),D41,SUM(G31:G36))</f>
        <v>0</v>
      </c>
      <c r="H37" s="77">
        <f>(E37/'Staffing Wages'!$J$3)*$H$13</f>
        <v>0</v>
      </c>
      <c r="I37" s="78">
        <f t="shared" si="1"/>
        <v>0</v>
      </c>
      <c r="J37" s="14"/>
      <c r="K37" s="14"/>
    </row>
    <row r="38" spans="1:11" ht="53.15" customHeight="1" x14ac:dyDescent="0.35">
      <c r="A38" s="52"/>
      <c r="B38" s="52"/>
      <c r="C38" s="52"/>
      <c r="D38" s="89" t="s">
        <v>89</v>
      </c>
      <c r="E38" s="380" t="s">
        <v>137</v>
      </c>
      <c r="F38" s="204" t="s">
        <v>200</v>
      </c>
      <c r="G38" s="201"/>
      <c r="H38" s="73"/>
      <c r="I38" s="52"/>
      <c r="J38" s="136"/>
      <c r="K38" s="136"/>
    </row>
    <row r="39" spans="1:11" ht="18.45" customHeight="1" x14ac:dyDescent="0.35">
      <c r="A39" s="52"/>
      <c r="B39" s="52"/>
      <c r="C39" s="167" t="s">
        <v>328</v>
      </c>
      <c r="D39" s="446">
        <f>SUM(G6:G9)</f>
        <v>0</v>
      </c>
      <c r="E39" s="447">
        <f>D39</f>
        <v>0</v>
      </c>
      <c r="F39" s="360" t="s">
        <v>327</v>
      </c>
      <c r="G39" s="201"/>
      <c r="H39" s="73"/>
      <c r="I39" s="52"/>
      <c r="J39" s="136"/>
      <c r="K39" s="136"/>
    </row>
    <row r="40" spans="1:11" ht="18.45" customHeight="1" x14ac:dyDescent="0.35">
      <c r="A40" s="52"/>
      <c r="B40" s="52"/>
      <c r="C40" s="91" t="s">
        <v>113</v>
      </c>
      <c r="D40" s="92">
        <f>E26</f>
        <v>0</v>
      </c>
      <c r="E40" s="93">
        <f>G26</f>
        <v>0</v>
      </c>
      <c r="F40" s="199">
        <f>E40-D40</f>
        <v>0</v>
      </c>
      <c r="G40" s="201"/>
      <c r="H40" s="73"/>
      <c r="I40" s="52"/>
      <c r="J40" s="136"/>
      <c r="K40" s="136"/>
    </row>
    <row r="41" spans="1:11" ht="14.5" customHeight="1" x14ac:dyDescent="0.35">
      <c r="A41" s="52"/>
      <c r="B41" s="52"/>
      <c r="C41" s="91" t="s">
        <v>156</v>
      </c>
      <c r="D41" s="92">
        <f>E37</f>
        <v>0</v>
      </c>
      <c r="E41" s="93">
        <f>G37</f>
        <v>0</v>
      </c>
      <c r="F41" s="199">
        <f t="shared" ref="F41" si="2">E41-D41</f>
        <v>0</v>
      </c>
      <c r="G41" s="201"/>
      <c r="H41" s="73"/>
      <c r="I41" s="52"/>
      <c r="J41" s="136"/>
      <c r="K41" s="136"/>
    </row>
    <row r="42" spans="1:11" x14ac:dyDescent="0.35">
      <c r="A42" s="52"/>
      <c r="B42" s="52"/>
      <c r="C42" s="94" t="s">
        <v>90</v>
      </c>
      <c r="D42" s="95">
        <f>SUM(D40:D41)</f>
        <v>0</v>
      </c>
      <c r="E42" s="355">
        <f>SUM(E40:E41)</f>
        <v>0</v>
      </c>
      <c r="F42" s="199">
        <f>E42-D42</f>
        <v>0</v>
      </c>
      <c r="G42" s="52"/>
      <c r="H42" s="52"/>
      <c r="I42" s="52"/>
      <c r="J42" s="136"/>
      <c r="K42" s="136"/>
    </row>
    <row r="43" spans="1:11" ht="11.5" customHeight="1" x14ac:dyDescent="0.35">
      <c r="A43" s="52"/>
      <c r="B43" s="52"/>
      <c r="C43" s="52" t="s">
        <v>331</v>
      </c>
      <c r="D43" s="52"/>
      <c r="E43" s="52"/>
      <c r="F43" s="52"/>
      <c r="G43" s="52"/>
      <c r="H43" s="52"/>
      <c r="I43" s="52"/>
      <c r="J43" s="136"/>
      <c r="K43" s="136"/>
    </row>
    <row r="44" spans="1:11" x14ac:dyDescent="0.35">
      <c r="A44" s="52"/>
      <c r="B44" s="52"/>
      <c r="C44" s="52"/>
      <c r="D44" s="52"/>
      <c r="E44" s="52"/>
      <c r="F44" s="52"/>
      <c r="G44" s="52"/>
      <c r="H44" s="52"/>
      <c r="I44" s="52"/>
      <c r="J44" s="136"/>
      <c r="K44" s="136"/>
    </row>
    <row r="45" spans="1:11" x14ac:dyDescent="0.35">
      <c r="A45" s="52"/>
      <c r="B45" s="52"/>
      <c r="C45" s="635" t="s">
        <v>398</v>
      </c>
      <c r="D45" s="635"/>
      <c r="E45" s="635"/>
      <c r="F45" s="584" t="s">
        <v>125</v>
      </c>
      <c r="G45" s="584" t="s">
        <v>127</v>
      </c>
      <c r="H45" s="69"/>
      <c r="I45" s="52"/>
      <c r="J45" s="136"/>
      <c r="K45" s="136"/>
    </row>
    <row r="46" spans="1:11" ht="26.5" customHeight="1" x14ac:dyDescent="0.35">
      <c r="A46" s="52"/>
      <c r="B46" s="52"/>
      <c r="C46" s="636" t="s">
        <v>124</v>
      </c>
      <c r="D46" s="636"/>
      <c r="E46" s="377">
        <f>'About your business'!F21</f>
        <v>0</v>
      </c>
      <c r="F46" s="584"/>
      <c r="G46" s="584"/>
      <c r="H46" s="69"/>
      <c r="I46" s="52"/>
      <c r="J46" s="136"/>
      <c r="K46" s="136"/>
    </row>
    <row r="47" spans="1:11" x14ac:dyDescent="0.35">
      <c r="A47" s="52"/>
      <c r="B47" s="52"/>
      <c r="C47" s="59" t="s">
        <v>128</v>
      </c>
      <c r="D47" s="59"/>
      <c r="E47" s="132">
        <v>0.75</v>
      </c>
      <c r="F47" s="378" t="str">
        <f>0.02*'About your business'!F21&amp;" acres of land"</f>
        <v>0 acres of land</v>
      </c>
      <c r="G47" s="61" t="s">
        <v>329</v>
      </c>
      <c r="H47" s="69">
        <f>0.02*'About your business'!F21</f>
        <v>0</v>
      </c>
      <c r="I47" s="52"/>
      <c r="J47" s="136"/>
      <c r="K47" s="136"/>
    </row>
    <row r="48" spans="1:11" ht="14.15" x14ac:dyDescent="0.35">
      <c r="A48" s="52"/>
      <c r="B48" s="52"/>
      <c r="C48" s="376" t="s">
        <v>129</v>
      </c>
      <c r="D48" s="376"/>
      <c r="E48" s="133">
        <v>45</v>
      </c>
      <c r="F48" s="378" t="str">
        <f>E48*'About your business'!F21&amp;" square metres"</f>
        <v>0 square metres</v>
      </c>
      <c r="G48" s="61" t="s">
        <v>330</v>
      </c>
      <c r="H48" s="69">
        <f>E48*'About your business'!F21</f>
        <v>0</v>
      </c>
      <c r="I48" s="52"/>
      <c r="J48" s="136"/>
      <c r="K48" s="136"/>
    </row>
    <row r="49" spans="1:11" x14ac:dyDescent="0.35">
      <c r="A49" s="52"/>
      <c r="B49" s="52"/>
      <c r="C49" s="52"/>
      <c r="D49" s="60"/>
      <c r="E49" s="618" t="s">
        <v>126</v>
      </c>
      <c r="F49" s="618"/>
      <c r="G49" s="62" t="str">
        <f>IFERROR(SUM(G47*H47)+(G48*H48),"TBC")</f>
        <v>TBC</v>
      </c>
      <c r="H49" s="69"/>
      <c r="I49" s="52"/>
      <c r="J49" s="14"/>
      <c r="K49" s="14"/>
    </row>
    <row r="50" spans="1:11" ht="14.5" customHeight="1" x14ac:dyDescent="0.35">
      <c r="A50" s="613" t="s">
        <v>399</v>
      </c>
      <c r="B50" s="613"/>
      <c r="C50" s="613"/>
      <c r="D50" s="613"/>
      <c r="E50" s="613"/>
      <c r="F50" s="613"/>
      <c r="G50" s="613"/>
      <c r="H50" s="613"/>
      <c r="I50" s="613"/>
      <c r="J50" s="14"/>
      <c r="K50" s="14"/>
    </row>
    <row r="51" spans="1:11" ht="14.6" x14ac:dyDescent="0.4">
      <c r="C51" s="565" t="s">
        <v>400</v>
      </c>
      <c r="D51" s="565"/>
      <c r="E51" s="565"/>
      <c r="F51" s="565"/>
      <c r="G51" s="565"/>
      <c r="J51" s="14"/>
      <c r="K51" s="14"/>
    </row>
    <row r="52" spans="1:11" x14ac:dyDescent="0.35">
      <c r="J52" s="14"/>
      <c r="K52" s="14"/>
    </row>
    <row r="53" spans="1:11" x14ac:dyDescent="0.35">
      <c r="J53" s="14"/>
      <c r="K53" s="14"/>
    </row>
    <row r="54" spans="1:11" x14ac:dyDescent="0.35">
      <c r="J54" s="14"/>
      <c r="K54" s="14"/>
    </row>
    <row r="55" spans="1:11" x14ac:dyDescent="0.35">
      <c r="J55" s="14"/>
      <c r="K55" s="14"/>
    </row>
    <row r="56" spans="1:11" x14ac:dyDescent="0.35">
      <c r="J56" s="14"/>
      <c r="K56" s="14"/>
    </row>
    <row r="57" spans="1:11" x14ac:dyDescent="0.35">
      <c r="J57" s="14"/>
      <c r="K57" s="14"/>
    </row>
    <row r="58" spans="1:11" x14ac:dyDescent="0.35">
      <c r="J58" s="14"/>
      <c r="K58" s="14"/>
    </row>
    <row r="59" spans="1:11" x14ac:dyDescent="0.35">
      <c r="J59" s="14"/>
      <c r="K59" s="14"/>
    </row>
    <row r="60" spans="1:11" x14ac:dyDescent="0.35">
      <c r="J60" s="14"/>
      <c r="K60" s="14"/>
    </row>
    <row r="61" spans="1:11" x14ac:dyDescent="0.35">
      <c r="J61" s="14"/>
      <c r="K61" s="14"/>
    </row>
    <row r="62" spans="1:11" x14ac:dyDescent="0.35">
      <c r="J62" s="14"/>
      <c r="K62" s="14"/>
    </row>
    <row r="63" spans="1:11" x14ac:dyDescent="0.35">
      <c r="J63" s="14"/>
      <c r="K63" s="14"/>
    </row>
    <row r="64" spans="1:11" x14ac:dyDescent="0.35">
      <c r="J64" s="14"/>
      <c r="K64" s="14"/>
    </row>
    <row r="65" spans="10:11" x14ac:dyDescent="0.35">
      <c r="J65" s="14"/>
      <c r="K65" s="14"/>
    </row>
    <row r="66" spans="10:11" x14ac:dyDescent="0.35">
      <c r="J66" s="14"/>
      <c r="K66" s="14"/>
    </row>
    <row r="67" spans="10:11" x14ac:dyDescent="0.35">
      <c r="J67" s="14"/>
      <c r="K67" s="14"/>
    </row>
    <row r="68" spans="10:11" x14ac:dyDescent="0.35">
      <c r="J68" s="14"/>
      <c r="K68" s="14"/>
    </row>
    <row r="69" spans="10:11" x14ac:dyDescent="0.35">
      <c r="J69" s="14"/>
      <c r="K69" s="14"/>
    </row>
    <row r="70" spans="10:11" x14ac:dyDescent="0.35">
      <c r="J70" s="14"/>
      <c r="K70" s="14"/>
    </row>
    <row r="71" spans="10:11" x14ac:dyDescent="0.35">
      <c r="J71" s="14"/>
      <c r="K71" s="14"/>
    </row>
    <row r="72" spans="10:11" x14ac:dyDescent="0.35">
      <c r="J72" s="14"/>
      <c r="K72" s="14"/>
    </row>
    <row r="73" spans="10:11" x14ac:dyDescent="0.35">
      <c r="J73" s="14"/>
      <c r="K73" s="14"/>
    </row>
    <row r="74" spans="10:11" x14ac:dyDescent="0.35">
      <c r="J74" s="14"/>
      <c r="K74" s="14"/>
    </row>
    <row r="75" spans="10:11" x14ac:dyDescent="0.35">
      <c r="J75" s="14"/>
      <c r="K75" s="14"/>
    </row>
    <row r="76" spans="10:11" x14ac:dyDescent="0.35">
      <c r="J76" s="14"/>
      <c r="K76" s="14"/>
    </row>
    <row r="77" spans="10:11" x14ac:dyDescent="0.35">
      <c r="J77" s="14"/>
      <c r="K77" s="14"/>
    </row>
    <row r="78" spans="10:11" x14ac:dyDescent="0.35">
      <c r="J78" s="14"/>
      <c r="K78" s="14"/>
    </row>
    <row r="79" spans="10:11" x14ac:dyDescent="0.35">
      <c r="J79" s="14"/>
      <c r="K79" s="14"/>
    </row>
    <row r="80" spans="10:11" x14ac:dyDescent="0.35">
      <c r="J80" s="14"/>
      <c r="K80" s="14"/>
    </row>
    <row r="81" spans="10:11" x14ac:dyDescent="0.35">
      <c r="J81" s="14"/>
      <c r="K81" s="14"/>
    </row>
    <row r="82" spans="10:11" x14ac:dyDescent="0.35">
      <c r="J82" s="14"/>
      <c r="K82" s="14"/>
    </row>
    <row r="83" spans="10:11" x14ac:dyDescent="0.35">
      <c r="J83" s="14"/>
      <c r="K83" s="14"/>
    </row>
    <row r="84" spans="10:11" x14ac:dyDescent="0.35">
      <c r="J84" s="14"/>
      <c r="K84" s="14"/>
    </row>
    <row r="85" spans="10:11" x14ac:dyDescent="0.35">
      <c r="J85" s="14"/>
      <c r="K85" s="14"/>
    </row>
    <row r="86" spans="10:11" x14ac:dyDescent="0.35">
      <c r="J86" s="14"/>
      <c r="K86" s="14"/>
    </row>
    <row r="87" spans="10:11" x14ac:dyDescent="0.35">
      <c r="J87" s="14"/>
      <c r="K87" s="14"/>
    </row>
    <row r="88" spans="10:11" x14ac:dyDescent="0.35">
      <c r="J88" s="14"/>
      <c r="K88" s="14"/>
    </row>
    <row r="89" spans="10:11" x14ac:dyDescent="0.35">
      <c r="J89" s="14"/>
      <c r="K89" s="14"/>
    </row>
  </sheetData>
  <sheetProtection algorithmName="SHA-512" hashValue="s4VgrrmTZ3jhPzcKHdnrKEBFQKW+iBA9RVo6KJP7EEtZz8nh56aD08VH552MMKm8UPCXzA0ofpF+0QGly0eqhQ==" saltValue="pr5omuG4WvkT4uSJnFhXKA==" spinCount="100000" sheet="1" selectLockedCells="1"/>
  <mergeCells count="43">
    <mergeCell ref="J12:K12"/>
    <mergeCell ref="C1:G1"/>
    <mergeCell ref="C45:E45"/>
    <mergeCell ref="C46:D46"/>
    <mergeCell ref="F45:F46"/>
    <mergeCell ref="G45:G46"/>
    <mergeCell ref="C25:D25"/>
    <mergeCell ref="C17:D17"/>
    <mergeCell ref="C18:D18"/>
    <mergeCell ref="C19:D19"/>
    <mergeCell ref="C13:D14"/>
    <mergeCell ref="G13:G14"/>
    <mergeCell ref="C11:D11"/>
    <mergeCell ref="C10:G10"/>
    <mergeCell ref="C7:F7"/>
    <mergeCell ref="C2:G2"/>
    <mergeCell ref="C6:F6"/>
    <mergeCell ref="C9:F9"/>
    <mergeCell ref="E3:G3"/>
    <mergeCell ref="C4:F4"/>
    <mergeCell ref="C5:G5"/>
    <mergeCell ref="C29:D30"/>
    <mergeCell ref="G29:G30"/>
    <mergeCell ref="C31:D31"/>
    <mergeCell ref="C22:D22"/>
    <mergeCell ref="C8:F8"/>
    <mergeCell ref="C15:D15"/>
    <mergeCell ref="J3:K3"/>
    <mergeCell ref="C51:G51"/>
    <mergeCell ref="A50:I50"/>
    <mergeCell ref="C20:D20"/>
    <mergeCell ref="C16:D16"/>
    <mergeCell ref="C35:D35"/>
    <mergeCell ref="C36:D36"/>
    <mergeCell ref="C32:D32"/>
    <mergeCell ref="C21:D21"/>
    <mergeCell ref="C23:D23"/>
    <mergeCell ref="C24:D24"/>
    <mergeCell ref="C27:D27"/>
    <mergeCell ref="E49:F49"/>
    <mergeCell ref="C33:D33"/>
    <mergeCell ref="C34:D34"/>
    <mergeCell ref="C3:D3"/>
  </mergeCells>
  <conditionalFormatting sqref="F13:G25">
    <cfRule type="expression" dxfId="111" priority="143">
      <formula>ISBLANK($G$12)</formula>
    </cfRule>
  </conditionalFormatting>
  <conditionalFormatting sqref="J12:K12">
    <cfRule type="expression" dxfId="110" priority="151">
      <formula>ISBLANK($G$12)</formula>
    </cfRule>
  </conditionalFormatting>
  <conditionalFormatting sqref="D38:D42">
    <cfRule type="expression" dxfId="109" priority="56">
      <formula>"ISBLANK($G$3)"</formula>
    </cfRule>
  </conditionalFormatting>
  <conditionalFormatting sqref="G38:G40">
    <cfRule type="expression" dxfId="108" priority="54">
      <formula>"ISBLANK($G$3)"</formula>
    </cfRule>
  </conditionalFormatting>
  <conditionalFormatting sqref="F13">
    <cfRule type="expression" dxfId="107" priority="35">
      <formula>ISBLANK($G$12)</formula>
    </cfRule>
  </conditionalFormatting>
  <conditionalFormatting sqref="G13:G14">
    <cfRule type="expression" dxfId="106" priority="34">
      <formula>ISBLANK($G$12)</formula>
    </cfRule>
  </conditionalFormatting>
  <conditionalFormatting sqref="F14:F25">
    <cfRule type="expression" dxfId="105" priority="33">
      <formula>ISBLANK($G$12)</formula>
    </cfRule>
  </conditionalFormatting>
  <conditionalFormatting sqref="F29:G30 F31:F36">
    <cfRule type="expression" dxfId="104" priority="32">
      <formula>ISBLANK($G$28)</formula>
    </cfRule>
  </conditionalFormatting>
  <conditionalFormatting sqref="G29:G30">
    <cfRule type="expression" dxfId="103" priority="31">
      <formula>ISBLANK($G$28)</formula>
    </cfRule>
  </conditionalFormatting>
  <conditionalFormatting sqref="F29">
    <cfRule type="expression" dxfId="102" priority="30">
      <formula>ISBLANK($G$28)</formula>
    </cfRule>
  </conditionalFormatting>
  <conditionalFormatting sqref="F30:F36">
    <cfRule type="expression" dxfId="101" priority="29">
      <formula>ISBLANK($G$28)</formula>
    </cfRule>
  </conditionalFormatting>
  <conditionalFormatting sqref="G15 E15">
    <cfRule type="expression" dxfId="100" priority="23">
      <formula>$E15&lt;$G15</formula>
    </cfRule>
    <cfRule type="expression" dxfId="99" priority="24">
      <formula>$E15&gt;$G15</formula>
    </cfRule>
  </conditionalFormatting>
  <conditionalFormatting sqref="E16:E25">
    <cfRule type="expression" dxfId="98" priority="21">
      <formula>$E16&lt;$G16</formula>
    </cfRule>
    <cfRule type="expression" dxfId="97" priority="22">
      <formula>$E16&gt;$G16</formula>
    </cfRule>
  </conditionalFormatting>
  <conditionalFormatting sqref="G16:G25">
    <cfRule type="expression" dxfId="96" priority="19">
      <formula>$E16&lt;$G16</formula>
    </cfRule>
    <cfRule type="expression" dxfId="95" priority="20">
      <formula>$E16&gt;$G16</formula>
    </cfRule>
  </conditionalFormatting>
  <conditionalFormatting sqref="G31:G36">
    <cfRule type="expression" dxfId="94" priority="5">
      <formula>$G$28=0</formula>
    </cfRule>
    <cfRule type="expression" dxfId="93" priority="18">
      <formula>ISBLANK($G$28)</formula>
    </cfRule>
  </conditionalFormatting>
  <conditionalFormatting sqref="G31:G36">
    <cfRule type="expression" dxfId="92" priority="16">
      <formula>$E31&lt;$G31</formula>
    </cfRule>
    <cfRule type="expression" dxfId="91" priority="17">
      <formula>$E31&gt;$G31</formula>
    </cfRule>
  </conditionalFormatting>
  <conditionalFormatting sqref="E31:E36">
    <cfRule type="expression" dxfId="90" priority="1">
      <formula>$G$28=0</formula>
    </cfRule>
    <cfRule type="expression" dxfId="89" priority="14">
      <formula>$E31&lt;$G31</formula>
    </cfRule>
    <cfRule type="expression" dxfId="88" priority="15">
      <formula>$E31&gt;$G31</formula>
    </cfRule>
  </conditionalFormatting>
  <conditionalFormatting sqref="F40:F42">
    <cfRule type="expression" dxfId="87" priority="10">
      <formula>$F40&gt;0</formula>
    </cfRule>
    <cfRule type="expression" dxfId="86" priority="11">
      <formula>$F40&lt;0</formula>
    </cfRule>
  </conditionalFormatting>
  <conditionalFormatting sqref="G15:G25">
    <cfRule type="expression" dxfId="85" priority="7">
      <formula>$H$13=0</formula>
    </cfRule>
  </conditionalFormatting>
  <conditionalFormatting sqref="E12">
    <cfRule type="expression" dxfId="84" priority="6">
      <formula>AND($E$12=0,$G$12&gt;0)</formula>
    </cfRule>
  </conditionalFormatting>
  <conditionalFormatting sqref="E28">
    <cfRule type="expression" dxfId="83" priority="3">
      <formula>AND($E$28=0,$G$28&gt;0)</formula>
    </cfRule>
  </conditionalFormatting>
  <conditionalFormatting sqref="E15:E25">
    <cfRule type="expression" dxfId="82" priority="2">
      <formula>$G$12=0</formula>
    </cfRule>
  </conditionalFormatting>
  <dataValidations disablePrompts="1" count="2">
    <dataValidation type="list" allowBlank="1" showInputMessage="1" showErrorMessage="1" sqref="B31:B36" xr:uid="{F0946169-32E9-418A-8EAF-4E0B74010BC4}">
      <formula1>"direct care, suports care delivery, business"</formula1>
    </dataValidation>
    <dataValidation allowBlank="1" showInputMessage="1" showErrorMessage="1" promptTitle="Date Entry" prompt="Dates should be enterd using a forward slash as the separator (dd/mm/yyyy)" sqref="E12 G12 E28 G28" xr:uid="{EAAA54CB-68E8-4685-ADB1-8BD89E1391DC}"/>
  </dataValidations>
  <hyperlinks>
    <hyperlink ref="C51:G51" location="PackageCostCalculator!A1" display="Now review the calculations that have been caried out on your data on the Package Cost Calculator tab" xr:uid="{9FF7867B-9B48-43B7-9D43-37B9D82E24E6}"/>
  </hyperlinks>
  <pageMargins left="0.25" right="0.25" top="0.75" bottom="0.75" header="0.3" footer="0.3"/>
  <pageSetup paperSize="9" orientation="portrait" r:id="rId1"/>
  <headerFooter>
    <oddHeader xml:space="preserve">&amp;C </oddHeader>
  </headerFooter>
  <extLst>
    <ext xmlns:x14="http://schemas.microsoft.com/office/spreadsheetml/2009/9/main" uri="{78C0D931-6437-407d-A8EE-F0AAD7539E65}">
      <x14:conditionalFormattings>
        <x14:conditionalFormatting xmlns:xm="http://schemas.microsoft.com/office/excel/2006/main">
          <x14:cfRule type="expression" priority="28" id="{192C2CD9-9158-4F2B-B4C1-ECC8883F422B}">
            <xm:f>'About your business'!$F$10=FALSE</xm:f>
            <x14:dxf>
              <font>
                <color theme="0" tint="-0.24994659260841701"/>
              </font>
              <fill>
                <patternFill>
                  <bgColor theme="0" tint="-0.24994659260841701"/>
                </patternFill>
              </fill>
              <border>
                <left/>
                <right/>
                <top/>
                <bottom/>
                <vertical/>
                <horizontal/>
              </border>
            </x14:dxf>
          </x14:cfRule>
          <xm:sqref>B45:H48 B49 D49:H49 A50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1E51-D32B-435A-9D7B-899FB9982C8E}">
  <sheetPr>
    <tabColor rgb="FFFFC000"/>
  </sheetPr>
  <dimension ref="A1:K23"/>
  <sheetViews>
    <sheetView view="pageLayout" zoomScale="90" zoomScaleNormal="100" zoomScalePageLayoutView="90" workbookViewId="0">
      <selection activeCell="F8" sqref="F8"/>
    </sheetView>
  </sheetViews>
  <sheetFormatPr defaultColWidth="8.69140625" defaultRowHeight="12.9" x14ac:dyDescent="0.35"/>
  <cols>
    <col min="1" max="1" width="0.84375" style="120" customWidth="1"/>
    <col min="2" max="2" width="1.23046875" style="120" customWidth="1"/>
    <col min="3" max="3" width="24.53515625" style="120" customWidth="1"/>
    <col min="4" max="7" width="17.53515625" style="120" customWidth="1"/>
    <col min="8" max="9" width="1" style="120" customWidth="1"/>
    <col min="10" max="11" width="48.53515625" style="14" customWidth="1"/>
    <col min="12" max="16384" width="8.69140625" style="120"/>
  </cols>
  <sheetData>
    <row r="1" spans="1:11" ht="86.5" customHeight="1" x14ac:dyDescent="0.35">
      <c r="A1" s="52"/>
      <c r="B1" s="52"/>
      <c r="C1" s="585" t="s">
        <v>147</v>
      </c>
      <c r="D1" s="585"/>
      <c r="E1" s="585"/>
      <c r="F1" s="585"/>
      <c r="G1" s="585"/>
      <c r="H1" s="69"/>
      <c r="I1" s="70"/>
      <c r="J1" s="135"/>
      <c r="K1" s="135"/>
    </row>
    <row r="2" spans="1:11" ht="43" customHeight="1" x14ac:dyDescent="0.35">
      <c r="A2" s="52"/>
      <c r="B2" s="52"/>
      <c r="C2" s="586" t="s">
        <v>140</v>
      </c>
      <c r="D2" s="586"/>
      <c r="E2" s="586"/>
      <c r="F2" s="586"/>
      <c r="G2" s="586"/>
      <c r="H2" s="69"/>
      <c r="I2" s="70"/>
      <c r="J2" s="135"/>
      <c r="K2" s="135"/>
    </row>
    <row r="3" spans="1:11" ht="37" customHeight="1" x14ac:dyDescent="0.35">
      <c r="A3" s="52"/>
      <c r="B3" s="52"/>
      <c r="C3" s="638" t="s">
        <v>139</v>
      </c>
      <c r="D3" s="638"/>
      <c r="E3" s="121"/>
      <c r="F3" s="121"/>
      <c r="G3" s="121"/>
      <c r="H3" s="69"/>
      <c r="I3" s="70"/>
      <c r="J3" s="135"/>
      <c r="K3" s="135"/>
    </row>
    <row r="4" spans="1:11" ht="34" customHeight="1" x14ac:dyDescent="0.35">
      <c r="A4" s="52"/>
      <c r="B4" s="52"/>
      <c r="C4" s="97" t="s">
        <v>122</v>
      </c>
      <c r="D4" s="98" t="s">
        <v>68</v>
      </c>
      <c r="E4" s="110"/>
      <c r="F4" s="109" t="s">
        <v>69</v>
      </c>
      <c r="G4" s="99"/>
      <c r="H4" s="127"/>
      <c r="I4" s="70"/>
      <c r="J4" s="642"/>
      <c r="K4" s="642"/>
    </row>
    <row r="5" spans="1:11" ht="27" customHeight="1" x14ac:dyDescent="0.35">
      <c r="A5" s="52"/>
      <c r="B5" s="52"/>
      <c r="C5" s="621"/>
      <c r="D5" s="622"/>
      <c r="E5" s="82" t="s">
        <v>66</v>
      </c>
      <c r="F5" s="83" t="str">
        <f>IF(NOT((ISBLANK(ActivitySpecificCosts!G4))),"User defined time period:","")</f>
        <v/>
      </c>
      <c r="G5" s="637" t="s">
        <v>91</v>
      </c>
      <c r="H5" s="50">
        <f>IF(OR((ISBLANK(E4)),(ISBLANK(G4))),0,SUM($G$4-$E$4))</f>
        <v>0</v>
      </c>
      <c r="I5" s="70"/>
    </row>
    <row r="6" spans="1:11" ht="15.75" customHeight="1" x14ac:dyDescent="0.35">
      <c r="A6" s="52"/>
      <c r="B6" s="52"/>
      <c r="C6" s="621"/>
      <c r="D6" s="622"/>
      <c r="E6" s="84" t="s">
        <v>65</v>
      </c>
      <c r="F6" s="111" t="str">
        <f>SUM($G$4-$E$4)&amp;" days"</f>
        <v>0 days</v>
      </c>
      <c r="G6" s="637"/>
      <c r="H6" s="50"/>
      <c r="I6" s="70"/>
    </row>
    <row r="7" spans="1:11" x14ac:dyDescent="0.35">
      <c r="A7" s="52"/>
      <c r="B7" s="52"/>
      <c r="C7" s="615" t="s">
        <v>135</v>
      </c>
      <c r="D7" s="615"/>
      <c r="E7" s="107"/>
      <c r="F7" s="107"/>
      <c r="G7" s="76" t="str">
        <f>IF(($H$5=0),"",IF(ISBLANK(F7),E7,((F7*('Staffing Wages'!$X$3/$H$5)))))</f>
        <v/>
      </c>
      <c r="H7" s="77">
        <f>(E7/'Staffing Wages'!$J$3)*$H$5</f>
        <v>0</v>
      </c>
      <c r="I7" s="78" t="e">
        <f>E7-G7</f>
        <v>#VALUE!</v>
      </c>
    </row>
    <row r="8" spans="1:11" x14ac:dyDescent="0.35">
      <c r="A8" s="52"/>
      <c r="B8" s="52"/>
      <c r="C8" s="615" t="s">
        <v>161</v>
      </c>
      <c r="D8" s="615"/>
      <c r="E8" s="79"/>
      <c r="F8" s="79"/>
      <c r="G8" s="76" t="str">
        <f>IF(($H$5=0),"",IF(ISBLANK(F8),E8,((F8*('Staffing Wages'!$X$3/$H$5)))))</f>
        <v/>
      </c>
      <c r="H8" s="77">
        <f>(E8/'Staffing Wages'!$J$3)*$H$5</f>
        <v>0</v>
      </c>
      <c r="I8" s="78" t="e">
        <f t="shared" ref="I8:I18" si="0">E8-G8</f>
        <v>#VALUE!</v>
      </c>
      <c r="J8" s="14" t="s">
        <v>180</v>
      </c>
    </row>
    <row r="9" spans="1:11" x14ac:dyDescent="0.35">
      <c r="A9" s="52"/>
      <c r="B9" s="52"/>
      <c r="C9" s="615" t="s">
        <v>136</v>
      </c>
      <c r="D9" s="615"/>
      <c r="E9" s="79"/>
      <c r="F9" s="79"/>
      <c r="G9" s="76" t="str">
        <f>IF(($H$5=0),"",IF(ISBLANK(F9),E9,((F9*('Staffing Wages'!$X$3/$H$5)))))</f>
        <v/>
      </c>
      <c r="H9" s="77">
        <f>(E9/'Staffing Wages'!$J$3)*$H$5</f>
        <v>0</v>
      </c>
      <c r="I9" s="78" t="e">
        <f t="shared" si="0"/>
        <v>#VALUE!</v>
      </c>
    </row>
    <row r="10" spans="1:11" x14ac:dyDescent="0.35">
      <c r="A10" s="52"/>
      <c r="B10" s="52"/>
      <c r="C10" s="615" t="s">
        <v>138</v>
      </c>
      <c r="D10" s="615"/>
      <c r="E10" s="79"/>
      <c r="F10" s="79"/>
      <c r="G10" s="76" t="str">
        <f>IF(($H$5=0),"",IF(ISBLANK(F10),E10,((F10*('Staffing Wages'!$X$3/$H$5)))))</f>
        <v/>
      </c>
      <c r="H10" s="77">
        <f>(E10/'Staffing Wages'!$J$3)*$H$5</f>
        <v>0</v>
      </c>
      <c r="I10" s="78" t="e">
        <f t="shared" si="0"/>
        <v>#VALUE!</v>
      </c>
    </row>
    <row r="11" spans="1:11" x14ac:dyDescent="0.35">
      <c r="A11" s="52"/>
      <c r="B11" s="52"/>
      <c r="C11" s="130"/>
      <c r="D11" s="130"/>
      <c r="E11" s="79"/>
      <c r="F11" s="79"/>
      <c r="G11" s="76" t="str">
        <f>IF(($H$5=0),"",IF(ISBLANK(F11),E11,((F11*('Staffing Wages'!$X$3/$H$5)))))</f>
        <v/>
      </c>
      <c r="H11" s="77">
        <f>(E11/'Staffing Wages'!$J$3)*$H$5</f>
        <v>0</v>
      </c>
      <c r="I11" s="78" t="e">
        <f t="shared" si="0"/>
        <v>#VALUE!</v>
      </c>
    </row>
    <row r="12" spans="1:11" x14ac:dyDescent="0.35">
      <c r="A12" s="52"/>
      <c r="B12" s="52"/>
      <c r="C12" s="122"/>
      <c r="D12" s="122"/>
      <c r="E12" s="79"/>
      <c r="F12" s="79"/>
      <c r="G12" s="76" t="str">
        <f>IF(($H$5=0),"",IF(ISBLANK(F12),E12,((F12*('Staffing Wages'!$X$3/$H$5)))))</f>
        <v/>
      </c>
      <c r="H12" s="77">
        <f>(E12/'Staffing Wages'!$J$3)*$H$5</f>
        <v>0</v>
      </c>
      <c r="I12" s="78" t="e">
        <f t="shared" si="0"/>
        <v>#VALUE!</v>
      </c>
    </row>
    <row r="13" spans="1:11" x14ac:dyDescent="0.35">
      <c r="A13" s="52"/>
      <c r="B13" s="52"/>
      <c r="C13" s="616"/>
      <c r="D13" s="616"/>
      <c r="E13" s="79"/>
      <c r="F13" s="79"/>
      <c r="G13" s="76" t="str">
        <f>IF(($H$5=0),"",IF(ISBLANK(F13),E13,((F13*('Staffing Wages'!$X$3/$H$5)))))</f>
        <v/>
      </c>
      <c r="H13" s="77">
        <f>(E13/'Staffing Wages'!$J$3)*$H$5</f>
        <v>0</v>
      </c>
      <c r="I13" s="78" t="e">
        <f t="shared" si="0"/>
        <v>#VALUE!</v>
      </c>
    </row>
    <row r="14" spans="1:11" x14ac:dyDescent="0.35">
      <c r="A14" s="52"/>
      <c r="B14" s="52"/>
      <c r="C14" s="616" t="s">
        <v>141</v>
      </c>
      <c r="D14" s="616"/>
      <c r="E14" s="79"/>
      <c r="F14" s="79"/>
      <c r="G14" s="76" t="str">
        <f>IF(($H$5=0),"",IF(ISBLANK(F14),E14,((F14*('Staffing Wages'!$X$3/$H$5)))))</f>
        <v/>
      </c>
      <c r="H14" s="77">
        <f>(E14/'Staffing Wages'!$J$3)*$H$5</f>
        <v>0</v>
      </c>
      <c r="I14" s="78" t="e">
        <f t="shared" si="0"/>
        <v>#VALUE!</v>
      </c>
    </row>
    <row r="15" spans="1:11" x14ac:dyDescent="0.35">
      <c r="A15" s="52"/>
      <c r="B15" s="52"/>
      <c r="C15" s="616" t="s">
        <v>142</v>
      </c>
      <c r="D15" s="616"/>
      <c r="E15" s="79"/>
      <c r="F15" s="79"/>
      <c r="G15" s="76" t="str">
        <f>IF(($H$5=0),"",IF(ISBLANK(F15),E15,((F15*('Staffing Wages'!$X$3/$H$5)))))</f>
        <v/>
      </c>
      <c r="H15" s="77">
        <f>(E15/'Staffing Wages'!$J$3)*$H$5</f>
        <v>0</v>
      </c>
      <c r="I15" s="78" t="e">
        <f t="shared" si="0"/>
        <v>#VALUE!</v>
      </c>
    </row>
    <row r="16" spans="1:11" x14ac:dyDescent="0.35">
      <c r="A16" s="52"/>
      <c r="B16" s="52"/>
      <c r="C16" s="616" t="s">
        <v>143</v>
      </c>
      <c r="D16" s="616"/>
      <c r="E16" s="79"/>
      <c r="F16" s="79"/>
      <c r="G16" s="76" t="str">
        <f>IF(($H$5=0),"",IF(ISBLANK(F16),E16,((F16*('Staffing Wages'!$X$3/$H$5)))))</f>
        <v/>
      </c>
      <c r="H16" s="77">
        <f>(E16/'Staffing Wages'!$J$3)*$H$5</f>
        <v>0</v>
      </c>
      <c r="I16" s="78" t="e">
        <f t="shared" si="0"/>
        <v>#VALUE!</v>
      </c>
    </row>
    <row r="17" spans="1:11" x14ac:dyDescent="0.35">
      <c r="A17" s="52"/>
      <c r="B17" s="52"/>
      <c r="C17" s="616" t="s">
        <v>144</v>
      </c>
      <c r="D17" s="616"/>
      <c r="E17" s="79"/>
      <c r="F17" s="79"/>
      <c r="G17" s="76" t="str">
        <f>IF(($H$5=0),"",IF(ISBLANK(F17),E17,((F17*('Staffing Wages'!$X$3/$H$5)))))</f>
        <v/>
      </c>
      <c r="H17" s="77">
        <f>(E17/'Staffing Wages'!$J$3)*$H$5</f>
        <v>0</v>
      </c>
      <c r="I17" s="78" t="e">
        <f t="shared" si="0"/>
        <v>#VALUE!</v>
      </c>
    </row>
    <row r="18" spans="1:11" x14ac:dyDescent="0.35">
      <c r="A18" s="52"/>
      <c r="B18" s="52"/>
      <c r="C18" s="616" t="s">
        <v>145</v>
      </c>
      <c r="D18" s="616"/>
      <c r="E18" s="79"/>
      <c r="F18" s="79"/>
      <c r="G18" s="76" t="str">
        <f>IF(($H$5=0),"",IF(ISBLANK(F18),E18,((F18*('Staffing Wages'!$X$3/$H$5)))))</f>
        <v/>
      </c>
      <c r="H18" s="77">
        <f>(E18/'Staffing Wages'!$J$3)*$H$5</f>
        <v>0</v>
      </c>
      <c r="I18" s="78" t="e">
        <f t="shared" si="0"/>
        <v>#VALUE!</v>
      </c>
    </row>
    <row r="19" spans="1:11" x14ac:dyDescent="0.35">
      <c r="A19" s="52"/>
      <c r="B19" s="52"/>
      <c r="C19" s="123"/>
      <c r="D19" s="123"/>
      <c r="E19" s="80"/>
      <c r="F19" s="80"/>
      <c r="G19" s="112">
        <f>IF(ISBLANK(G4),D22,SUM(G7:G18))</f>
        <v>0</v>
      </c>
      <c r="H19" s="77"/>
      <c r="I19" s="78"/>
    </row>
    <row r="20" spans="1:11" x14ac:dyDescent="0.35">
      <c r="A20" s="52"/>
      <c r="B20" s="52"/>
      <c r="C20" s="123"/>
      <c r="D20" s="123"/>
      <c r="E20" s="80"/>
      <c r="F20" s="80"/>
      <c r="G20" s="100"/>
      <c r="H20" s="77"/>
      <c r="I20" s="78"/>
    </row>
    <row r="21" spans="1:11" ht="41.15" customHeight="1" x14ac:dyDescent="0.35">
      <c r="A21" s="52"/>
      <c r="B21" s="52"/>
      <c r="C21" s="52"/>
      <c r="D21" s="89" t="s">
        <v>89</v>
      </c>
      <c r="E21" s="90" t="s">
        <v>134</v>
      </c>
      <c r="F21" s="640" t="s">
        <v>133</v>
      </c>
      <c r="G21" s="641"/>
      <c r="H21" s="73"/>
      <c r="I21" s="52"/>
      <c r="J21" s="136"/>
      <c r="K21" s="136"/>
    </row>
    <row r="22" spans="1:11" ht="24" customHeight="1" x14ac:dyDescent="0.35">
      <c r="A22" s="52"/>
      <c r="B22" s="52"/>
      <c r="C22" s="113" t="s">
        <v>146</v>
      </c>
      <c r="D22" s="114">
        <f>SUM(E7:E18)</f>
        <v>0</v>
      </c>
      <c r="E22" s="93">
        <f>G19</f>
        <v>0</v>
      </c>
      <c r="F22" s="640"/>
      <c r="G22" s="641"/>
      <c r="H22" s="73"/>
      <c r="I22" s="52"/>
      <c r="J22" s="136"/>
      <c r="K22" s="136"/>
    </row>
    <row r="23" spans="1:11" x14ac:dyDescent="0.35">
      <c r="A23" s="52"/>
      <c r="B23" s="52"/>
      <c r="C23" s="52"/>
      <c r="D23" s="52"/>
      <c r="E23" s="52"/>
      <c r="F23" s="52"/>
      <c r="G23" s="52"/>
      <c r="H23" s="52"/>
      <c r="I23" s="52"/>
    </row>
  </sheetData>
  <sheetProtection selectLockedCells="1"/>
  <mergeCells count="17">
    <mergeCell ref="C3:D3"/>
    <mergeCell ref="J4:K4"/>
    <mergeCell ref="C1:G1"/>
    <mergeCell ref="C2:G2"/>
    <mergeCell ref="C13:D13"/>
    <mergeCell ref="C5:D6"/>
    <mergeCell ref="G5:G6"/>
    <mergeCell ref="C7:D7"/>
    <mergeCell ref="C8:D8"/>
    <mergeCell ref="C9:D9"/>
    <mergeCell ref="C10:D10"/>
    <mergeCell ref="F21:G22"/>
    <mergeCell ref="C14:D14"/>
    <mergeCell ref="C15:D15"/>
    <mergeCell ref="C16:D16"/>
    <mergeCell ref="C17:D17"/>
    <mergeCell ref="C18:D18"/>
  </mergeCells>
  <conditionalFormatting sqref="F5:G18">
    <cfRule type="expression" dxfId="80" priority="50">
      <formula>ISBLANK($G$4)</formula>
    </cfRule>
  </conditionalFormatting>
  <conditionalFormatting sqref="J4:K4">
    <cfRule type="expression" dxfId="79" priority="52">
      <formula>ISBLANK($G$4)</formula>
    </cfRule>
  </conditionalFormatting>
  <conditionalFormatting sqref="E22">
    <cfRule type="iconSet" priority="51">
      <iconSet iconSet="3TrafficLights2" reverse="1">
        <cfvo type="percent" val="0"/>
        <cfvo type="num" val="$D$22"/>
        <cfvo type="num" val="$D$22" gte="0"/>
      </iconSet>
    </cfRule>
  </conditionalFormatting>
  <conditionalFormatting sqref="G7">
    <cfRule type="iconSet" priority="24">
      <iconSet iconSet="3ArrowsGray">
        <cfvo type="percent" val="0"/>
        <cfvo type="num" val="$E$7"/>
        <cfvo type="num" val="$E$7" gte="0"/>
      </iconSet>
    </cfRule>
  </conditionalFormatting>
  <conditionalFormatting sqref="G9">
    <cfRule type="iconSet" priority="23">
      <iconSet iconSet="3ArrowsGray">
        <cfvo type="percent" val="0"/>
        <cfvo type="num" val="$E$9"/>
        <cfvo type="num" val="$E$9" gte="0"/>
      </iconSet>
    </cfRule>
  </conditionalFormatting>
  <conditionalFormatting sqref="D21:D22">
    <cfRule type="expression" dxfId="78" priority="22">
      <formula>"ISBLANK($G$3)"</formula>
    </cfRule>
  </conditionalFormatting>
  <conditionalFormatting sqref="F21:G22">
    <cfRule type="expression" dxfId="77" priority="21">
      <formula>"ISBLANK($G$3)"</formula>
    </cfRule>
  </conditionalFormatting>
  <conditionalFormatting sqref="G8">
    <cfRule type="iconSet" priority="19">
      <iconSet iconSet="3ArrowsGray">
        <cfvo type="percent" val="0"/>
        <cfvo type="num" val="$E$8"/>
        <cfvo type="num" val="$E$8" gte="0"/>
      </iconSet>
    </cfRule>
  </conditionalFormatting>
  <conditionalFormatting sqref="G10">
    <cfRule type="iconSet" priority="18">
      <iconSet iconSet="3ArrowsGray">
        <cfvo type="percent" val="0"/>
        <cfvo type="num" val="$E$10"/>
        <cfvo type="num" val="$E$10" gte="0"/>
      </iconSet>
    </cfRule>
  </conditionalFormatting>
  <conditionalFormatting sqref="G11">
    <cfRule type="iconSet" priority="17">
      <iconSet iconSet="3ArrowsGray">
        <cfvo type="percent" val="0"/>
        <cfvo type="num" val="$E$11"/>
        <cfvo type="num" val="$E$11" gte="0"/>
      </iconSet>
    </cfRule>
  </conditionalFormatting>
  <conditionalFormatting sqref="G12">
    <cfRule type="iconSet" priority="16">
      <iconSet iconSet="3ArrowsGray">
        <cfvo type="percent" val="0"/>
        <cfvo type="num" val="$E$12"/>
        <cfvo type="num" val="$E$12" gte="0"/>
      </iconSet>
    </cfRule>
  </conditionalFormatting>
  <conditionalFormatting sqref="G13">
    <cfRule type="iconSet" priority="15">
      <iconSet iconSet="3ArrowsGray">
        <cfvo type="percent" val="0"/>
        <cfvo type="num" val="$E$13"/>
        <cfvo type="num" val="$E$13" gte="0"/>
      </iconSet>
    </cfRule>
  </conditionalFormatting>
  <conditionalFormatting sqref="G14">
    <cfRule type="iconSet" priority="14">
      <iconSet iconSet="3ArrowsGray">
        <cfvo type="percent" val="0"/>
        <cfvo type="num" val="$E$14"/>
        <cfvo type="num" val="$E$14" gte="0"/>
      </iconSet>
    </cfRule>
  </conditionalFormatting>
  <conditionalFormatting sqref="G15">
    <cfRule type="iconSet" priority="13">
      <iconSet iconSet="3ArrowsGray">
        <cfvo type="percent" val="0"/>
        <cfvo type="num" val="$E$15"/>
        <cfvo type="num" val="$E$15" gte="0"/>
      </iconSet>
    </cfRule>
  </conditionalFormatting>
  <conditionalFormatting sqref="G16">
    <cfRule type="iconSet" priority="12">
      <iconSet iconSet="3ArrowsGray">
        <cfvo type="percent" val="0"/>
        <cfvo type="num" val="$E$16"/>
        <cfvo type="num" val="$E$16" gte="0"/>
      </iconSet>
    </cfRule>
  </conditionalFormatting>
  <conditionalFormatting sqref="G17">
    <cfRule type="iconSet" priority="11">
      <iconSet iconSet="3ArrowsGray">
        <cfvo type="percent" val="0"/>
        <cfvo type="num" val="$E$17"/>
        <cfvo type="num" val="$E$17" gte="0"/>
      </iconSet>
    </cfRule>
  </conditionalFormatting>
  <conditionalFormatting sqref="G18">
    <cfRule type="iconSet" priority="10">
      <iconSet iconSet="3ArrowsGray">
        <cfvo type="percent" val="0"/>
        <cfvo type="num" val="$E$18"/>
        <cfvo type="num" val="$E$18" gte="0"/>
      </iconSet>
    </cfRule>
  </conditionalFormatting>
  <conditionalFormatting sqref="F5">
    <cfRule type="expression" dxfId="76" priority="9">
      <formula>ISBLANK($G$4)</formula>
    </cfRule>
  </conditionalFormatting>
  <conditionalFormatting sqref="G5:G6">
    <cfRule type="expression" dxfId="75" priority="8">
      <formula>ISBLANK($G$4)</formula>
    </cfRule>
  </conditionalFormatting>
  <conditionalFormatting sqref="F6:F18">
    <cfRule type="expression" dxfId="74" priority="7">
      <formula>ISBLANK($G$4)</formula>
    </cfRule>
  </conditionalFormatting>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04C2-ACCF-4A35-AA02-FA800E0F082D}">
  <sheetPr>
    <tabColor rgb="FF7030A0"/>
  </sheetPr>
  <dimension ref="A1:T49"/>
  <sheetViews>
    <sheetView view="pageLayout" zoomScale="130" zoomScaleNormal="100" zoomScalePageLayoutView="130" workbookViewId="0">
      <selection activeCell="O5" sqref="O5"/>
    </sheetView>
  </sheetViews>
  <sheetFormatPr defaultColWidth="8.61328125" defaultRowHeight="12.9" x14ac:dyDescent="0.35"/>
  <cols>
    <col min="1" max="1" width="0.84375" style="148" customWidth="1"/>
    <col min="2" max="2" width="0.3828125" style="148" customWidth="1"/>
    <col min="3" max="6" width="19.4609375" style="148" customWidth="1"/>
    <col min="7" max="7" width="18.61328125" style="148" customWidth="1"/>
    <col min="8" max="9" width="0.921875" style="158" customWidth="1"/>
    <col min="10" max="10" width="31.23046875" style="148" hidden="1" customWidth="1"/>
    <col min="11" max="12" width="32.3046875" style="148" hidden="1" customWidth="1"/>
    <col min="13" max="14" width="0.3046875" style="148" hidden="1" customWidth="1"/>
    <col min="15" max="15" width="51.53515625" style="148" customWidth="1"/>
    <col min="16" max="16" width="43.23046875" style="148" customWidth="1"/>
    <col min="17" max="17" width="13.4609375" style="148" customWidth="1"/>
    <col min="18" max="16384" width="8.61328125" style="148"/>
  </cols>
  <sheetData>
    <row r="1" spans="1:20" ht="39.65" customHeight="1" x14ac:dyDescent="0.35">
      <c r="A1" s="52"/>
      <c r="B1" s="52"/>
      <c r="C1" s="585" t="s">
        <v>171</v>
      </c>
      <c r="D1" s="585"/>
      <c r="E1" s="585"/>
      <c r="F1" s="585"/>
      <c r="G1" s="585"/>
      <c r="H1" s="373" t="s">
        <v>182</v>
      </c>
      <c r="I1" s="373"/>
      <c r="J1" s="52"/>
      <c r="K1" s="52"/>
      <c r="L1" s="52"/>
      <c r="M1" s="52"/>
      <c r="N1" s="52"/>
      <c r="O1" s="466"/>
      <c r="P1" s="466"/>
      <c r="Q1" s="52"/>
      <c r="R1" s="52"/>
      <c r="S1" s="52"/>
      <c r="T1" s="52"/>
    </row>
    <row r="2" spans="1:20" s="51" customFormat="1" ht="15" customHeight="1" x14ac:dyDescent="0.4">
      <c r="A2" s="1"/>
      <c r="B2" s="1"/>
      <c r="C2" s="643" t="s">
        <v>80</v>
      </c>
      <c r="D2" s="643"/>
      <c r="E2" s="643"/>
      <c r="F2" s="124" t="s">
        <v>81</v>
      </c>
      <c r="G2" s="147" t="s">
        <v>20</v>
      </c>
      <c r="H2" s="374">
        <f>IF(G2=DropDownLists!$E$5,IF(ISBLANK('About your business'!F23),('Staffing Wages'!J3*24),('About your business'!F23*('Staffing Wages'!J3/7))),IF(G2=DropDownLists!$E$6,IF(ISBLANK('About your business'!F24),('Staffing Wages'!J3),('About your business'!F24*('Staffing Wages'!J3/7))),IF(G2=DropDownLists!$E$7,'Staffing Wages'!$J$3/7,IF(G2=DropDownLists!$E$8,'Staffing Wages'!$J$3/12,IF(G2=DropDownLists!$E$9,1,"")))))</f>
        <v>52.142857142857146</v>
      </c>
      <c r="I2" s="374" t="str">
        <f>(IF(G2="hour","Hourly",IF(G2="day","Daily",IF(G2="week","Weekly",IF(G2="month","Monthly",IF(G2="year","Annual",""))))))</f>
        <v>Weekly</v>
      </c>
      <c r="M2" s="52"/>
      <c r="N2" s="52"/>
      <c r="O2" s="655" t="s">
        <v>377</v>
      </c>
      <c r="P2" s="655"/>
      <c r="Q2" s="402"/>
    </row>
    <row r="3" spans="1:20" s="51" customFormat="1" ht="8.15" customHeight="1" x14ac:dyDescent="0.4">
      <c r="A3" s="1"/>
      <c r="B3" s="1"/>
      <c r="C3" s="125"/>
      <c r="D3" s="125"/>
      <c r="E3" s="125"/>
      <c r="F3" s="126"/>
      <c r="G3" s="146"/>
      <c r="H3" s="374" t="s">
        <v>159</v>
      </c>
      <c r="I3" s="374" t="s">
        <v>158</v>
      </c>
      <c r="M3" s="52"/>
      <c r="N3" s="52"/>
      <c r="O3" s="136"/>
      <c r="P3" s="136"/>
      <c r="Q3" s="402"/>
    </row>
    <row r="4" spans="1:20" ht="16.3" customHeight="1" thickBot="1" x14ac:dyDescent="0.45">
      <c r="A4" s="52"/>
      <c r="B4" s="52"/>
      <c r="C4" s="645" t="s">
        <v>411</v>
      </c>
      <c r="D4" s="645"/>
      <c r="E4" s="645"/>
      <c r="F4" s="645"/>
      <c r="G4" s="645"/>
      <c r="H4" s="373">
        <f>IF('About your business'!F10,7,'About your business'!F24)</f>
        <v>7</v>
      </c>
      <c r="I4" s="373" t="str">
        <f>IF('About your business'!F10,"24",IF(ISBLANK('About your business'!F23),0,('About your business'!F23/'About your business'!F24)))</f>
        <v>24</v>
      </c>
      <c r="J4" s="368" t="s">
        <v>412</v>
      </c>
      <c r="K4" s="153">
        <v>0.9</v>
      </c>
      <c r="L4" s="461" t="s">
        <v>413</v>
      </c>
      <c r="M4" s="52"/>
      <c r="N4" s="52"/>
      <c r="O4" s="136"/>
      <c r="P4" s="136"/>
      <c r="Q4" s="402"/>
    </row>
    <row r="5" spans="1:20" ht="77.150000000000006" x14ac:dyDescent="0.35">
      <c r="A5" s="52"/>
      <c r="B5" s="52"/>
      <c r="C5" s="425" t="str">
        <f>"Benchmark ocupancy of "&amp;'About your business'!C26*100&amp;"% (this is set on the ABOUT YOUR BUSINESS tab)"</f>
        <v>Benchmark ocupancy of 90% (this is set on the ABOUT YOUR BUSINESS tab)</v>
      </c>
      <c r="D5" s="416"/>
      <c r="E5" s="417" t="str">
        <f>"Previous year costs, per benchmark unit of care, per "&amp;G2&amp;", based on last 12 months reported costs, at "&amp;K4*100&amp;"% ocupancy"</f>
        <v>Previous year costs, per benchmark unit of care, per week, based on last 12 months reported costs, at 90% ocupancy</v>
      </c>
      <c r="F5" s="369" t="str">
        <f>"12 month projection, based on revised costs (where provided) per benchmark unit of care, per "&amp;G2&amp;",at "&amp;K4*100&amp;"% ocupancy"</f>
        <v>12 month projection, based on revised costs (where provided) per benchmark unit of care, per week,at 90% ocupancy</v>
      </c>
      <c r="G5" s="418" t="s">
        <v>409</v>
      </c>
      <c r="H5" s="373"/>
      <c r="I5" s="373"/>
      <c r="J5" s="369" t="s">
        <v>347</v>
      </c>
      <c r="K5" s="157" t="str">
        <f>I2&amp;" cost per room at "&amp; TEXT(K4,"##%")&amp;" ocupancy of rooms (using 12 month data)"</f>
        <v>Weekly cost per room at 90% ocupancy of rooms (using 12 month data)</v>
      </c>
      <c r="L5" s="154" t="str">
        <f>IFERROR(I2&amp;" cost per room at self reported ocupancy of "&amp;TEXT(('About your business'!F19/'About your business'!F21)*100,"##.##")&amp; "%  (using 12 month data)","")</f>
        <v/>
      </c>
      <c r="M5" s="52"/>
      <c r="N5" s="52"/>
      <c r="O5" s="136"/>
      <c r="P5" s="136"/>
      <c r="Q5" s="402"/>
    </row>
    <row r="6" spans="1:20" ht="13.5" customHeight="1" x14ac:dyDescent="0.35">
      <c r="A6" s="52"/>
      <c r="B6" s="52"/>
      <c r="C6" s="419" t="s">
        <v>353</v>
      </c>
      <c r="D6" s="404"/>
      <c r="E6" s="152" t="str">
        <f>IFERROR(((('Staffing Wages'!$E$3)/$I$8)/$H$2),"")</f>
        <v/>
      </c>
      <c r="F6" s="151" t="str">
        <f>IFERROR(((('Staffing Wages'!$S$3)/$I$8)/$H$2),"")</f>
        <v/>
      </c>
      <c r="G6" s="420" t="str">
        <f>IFERROR(F6-E6,"")</f>
        <v/>
      </c>
      <c r="H6" s="373"/>
      <c r="I6" s="373"/>
      <c r="J6" s="370" t="s">
        <v>404</v>
      </c>
      <c r="K6" s="155" t="str">
        <f>IFERROR(((SUMIFS(Table1[Total Wage],Table1[Per (Year /Hr)],"hour")-SUMIFS(Table1[Total Wage],Table1[Role type],"agency"))/$I$9)/$H$2,"")</f>
        <v/>
      </c>
      <c r="L6" s="155" t="str">
        <f>IFERROR(((SUMIFS(Table1[Total Wage],Table1[Per (Year /Hr)],"hour")-SUMIFS(Table1[Total Wage],Table1[Role type],"agency"))/$I$9)/$H$2,"")</f>
        <v/>
      </c>
      <c r="M6" s="52"/>
      <c r="N6" s="52"/>
      <c r="O6" s="136"/>
      <c r="P6" s="136"/>
      <c r="Q6" s="402"/>
    </row>
    <row r="7" spans="1:20" ht="18.55" customHeight="1" x14ac:dyDescent="0.35">
      <c r="A7" s="52"/>
      <c r="B7" s="52"/>
      <c r="C7" s="419" t="s">
        <v>410</v>
      </c>
      <c r="D7" s="404"/>
      <c r="E7" s="151" t="str">
        <f>IFERROR((('Staffing Wages'!E$4)/$I$9)/$H$2,"")</f>
        <v/>
      </c>
      <c r="F7" s="151" t="str">
        <f>IFERROR((('Staffing Wages'!S$4)/$I$9)/$H$2,"")</f>
        <v/>
      </c>
      <c r="G7" s="420" t="str">
        <f t="shared" ref="G7:G21" si="0">IFERROR(F7-E7,"")</f>
        <v/>
      </c>
      <c r="H7" s="373" t="s">
        <v>342</v>
      </c>
      <c r="I7" s="373">
        <f>'About your business'!D18</f>
        <v>0</v>
      </c>
      <c r="J7" s="370" t="s">
        <v>405</v>
      </c>
      <c r="K7" s="156" t="str">
        <f>IFERROR(((SUMIFS(Table1[Total Wage],Table1[Per (Year /Hr)],"year"))/$I$8)/$H$2,"")</f>
        <v/>
      </c>
      <c r="L7" s="156" t="str">
        <f>IFERROR(((SUMIFS(Table1[Total Wage],Table1[Per (Year /Hr)],"year"))/$I$9)/$H$2,"")</f>
        <v/>
      </c>
      <c r="M7" s="52"/>
      <c r="N7" s="52"/>
      <c r="O7" s="136"/>
      <c r="P7" s="136"/>
      <c r="Q7" s="402"/>
    </row>
    <row r="8" spans="1:20" ht="21" customHeight="1" x14ac:dyDescent="0.35">
      <c r="A8" s="52"/>
      <c r="B8" s="52"/>
      <c r="C8" s="419" t="s">
        <v>407</v>
      </c>
      <c r="D8" s="404"/>
      <c r="E8" s="152" t="str">
        <f>IFERROR(((('Staffing Wages'!$E$5)/$I$8)/$H$2),"")</f>
        <v/>
      </c>
      <c r="F8" s="151" t="str">
        <f>IFERROR(((('Staffing Wages'!$S$5)/$I$8)/$H$2),"")</f>
        <v/>
      </c>
      <c r="G8" s="420" t="str">
        <f t="shared" si="0"/>
        <v/>
      </c>
      <c r="H8" s="373" t="s">
        <v>181</v>
      </c>
      <c r="I8" s="373">
        <f>'About your business'!C26*I7</f>
        <v>0</v>
      </c>
      <c r="J8" s="371" t="s">
        <v>406</v>
      </c>
      <c r="K8" s="156" t="str">
        <f>IFERROR(((SUMIFS(Table1[Total Wage],Table1[Role type],"agency"))/$I$9)/$H$2,"")</f>
        <v/>
      </c>
      <c r="L8" s="155" t="str">
        <f>IFERROR(((SUMIFS(Table1[Total Wage],Table1[Role type],"agency"))/$I$9)/$H$2,"")</f>
        <v/>
      </c>
      <c r="M8" s="52"/>
      <c r="N8" s="52"/>
      <c r="O8" s="136"/>
      <c r="P8" s="136"/>
      <c r="Q8" s="402"/>
    </row>
    <row r="9" spans="1:20" ht="15" customHeight="1" x14ac:dyDescent="0.35">
      <c r="A9" s="52"/>
      <c r="B9" s="52"/>
      <c r="C9" s="646" t="s">
        <v>354</v>
      </c>
      <c r="D9" s="647"/>
      <c r="E9" s="152" t="str">
        <f>IFERROR(((('Staffing Wages'!$E$6)/$I$8)/$H$2),"")</f>
        <v/>
      </c>
      <c r="F9" s="151" t="str">
        <f>IFERROR(((('Staffing Wages'!$S$6)/$I$8)/$H$2),"")</f>
        <v/>
      </c>
      <c r="G9" s="420" t="str">
        <f t="shared" si="0"/>
        <v/>
      </c>
      <c r="H9" s="373" t="s">
        <v>414</v>
      </c>
      <c r="I9" s="373">
        <f>'About your business'!F18</f>
        <v>0</v>
      </c>
      <c r="J9" s="370" t="s">
        <v>415</v>
      </c>
      <c r="K9" s="155" t="str">
        <f>IFERROR(('Development &amp; Sustainability'!$D$42)/I8/$H$2,"")</f>
        <v/>
      </c>
      <c r="L9" s="155" t="str">
        <f>IFERROR(('Development &amp; Sustainability'!$D$42)/$I$9/$H$2,"")</f>
        <v/>
      </c>
      <c r="M9" s="52"/>
      <c r="N9" s="52"/>
      <c r="O9" s="136"/>
      <c r="P9" s="136"/>
      <c r="Q9" s="402"/>
    </row>
    <row r="10" spans="1:20" x14ac:dyDescent="0.35">
      <c r="A10" s="52"/>
      <c r="B10" s="52"/>
      <c r="C10" s="648" t="s">
        <v>355</v>
      </c>
      <c r="D10" s="649"/>
      <c r="E10" s="151" t="str">
        <f>IFERROR((('Staffing Wages'!$E$7)/$I$9)/$H$2,"")</f>
        <v/>
      </c>
      <c r="F10" s="151" t="str">
        <f>IFERROR((('Staffing Wages'!$S$7)/$I$9)/$H$2,"")</f>
        <v/>
      </c>
      <c r="G10" s="420" t="str">
        <f t="shared" si="0"/>
        <v/>
      </c>
      <c r="H10" s="375"/>
      <c r="I10" s="373"/>
      <c r="J10" s="370" t="s">
        <v>343</v>
      </c>
      <c r="K10" s="362" t="str">
        <f>IFERROR(('Business Running Costs'!$E$71/$I$8/$H$2),"")</f>
        <v/>
      </c>
      <c r="L10" s="155" t="str">
        <f>IFERROR(('Business Running Costs'!$E$71/$I$9/$H$2),"")</f>
        <v/>
      </c>
      <c r="M10" s="52"/>
      <c r="N10" s="52"/>
      <c r="O10" s="136"/>
      <c r="P10" s="136"/>
      <c r="Q10" s="402"/>
    </row>
    <row r="11" spans="1:20" ht="13.3" thickBot="1" x14ac:dyDescent="0.4">
      <c r="A11" s="52"/>
      <c r="B11" s="52"/>
      <c r="C11" s="419" t="s">
        <v>356</v>
      </c>
      <c r="D11" s="404"/>
      <c r="E11" s="151" t="str">
        <f>IFERROR((('Business Running Costs'!$D$75)/$I$9)/$H$2,"")</f>
        <v/>
      </c>
      <c r="F11" s="151" t="str">
        <f>IFERROR((('Business Running Costs'!$E$75)/$I$9)/$H$2,"")</f>
        <v/>
      </c>
      <c r="G11" s="420" t="str">
        <f t="shared" si="0"/>
        <v/>
      </c>
      <c r="H11" s="375"/>
      <c r="I11" s="375"/>
      <c r="J11" s="370" t="s">
        <v>344</v>
      </c>
      <c r="K11" s="362" t="str">
        <f>IFERROR(((SUM('Business Running Costs'!$E$8:$E$9,'Business Running Costs'!$E$20,'Business Running Costs'!$E$30,'Business Running Costs'!$E$34:$E$45))/$I$9)/$H$2,"")</f>
        <v/>
      </c>
      <c r="L11" s="364" t="str">
        <f>IFERROR(((SUM('Business Running Costs'!$E$8:$E$9,'Business Running Costs'!$E$20,'Business Running Costs'!$E$30,'Business Running Costs'!$E$34:$E$45))/$I$9)/$H$2,"")</f>
        <v/>
      </c>
      <c r="M11" s="52"/>
      <c r="N11" s="52"/>
      <c r="O11" s="136"/>
      <c r="P11" s="136"/>
      <c r="Q11" s="402"/>
    </row>
    <row r="12" spans="1:20" ht="13" customHeight="1" thickBot="1" x14ac:dyDescent="0.4">
      <c r="A12" s="52"/>
      <c r="B12" s="52"/>
      <c r="C12" s="648" t="s">
        <v>357</v>
      </c>
      <c r="D12" s="649"/>
      <c r="E12" s="151" t="str">
        <f>IFERROR((('Business Running Costs'!$D$76)/$I$9)/$H$2,"")</f>
        <v/>
      </c>
      <c r="F12" s="151" t="str">
        <f>IFERROR((('Business Running Costs'!$E$76)/$I$9)/$H$2,"")</f>
        <v/>
      </c>
      <c r="G12" s="420" t="str">
        <f t="shared" si="0"/>
        <v/>
      </c>
      <c r="H12" s="373"/>
      <c r="I12" s="373"/>
      <c r="J12" s="372" t="s">
        <v>352</v>
      </c>
      <c r="K12" s="363">
        <f>SUM(K6:K11)</f>
        <v>0</v>
      </c>
      <c r="L12" s="363">
        <f>SUM(L6:L11)</f>
        <v>0</v>
      </c>
      <c r="M12" s="52"/>
      <c r="N12" s="52"/>
      <c r="O12" s="136"/>
      <c r="P12" s="136"/>
      <c r="Q12" s="402"/>
    </row>
    <row r="13" spans="1:20" x14ac:dyDescent="0.35">
      <c r="A13" s="52"/>
      <c r="B13" s="52"/>
      <c r="C13" s="648" t="s">
        <v>358</v>
      </c>
      <c r="D13" s="649"/>
      <c r="E13" s="151" t="str">
        <f>IFERROR((('Business Running Costs'!$D$77)/$I$9)/$H$2,"")</f>
        <v/>
      </c>
      <c r="F13" s="151" t="str">
        <f>IFERROR((('Business Running Costs'!$E$77)/$I$9)/$H$2,"")</f>
        <v/>
      </c>
      <c r="G13" s="420" t="str">
        <f t="shared" si="0"/>
        <v/>
      </c>
      <c r="H13" s="373"/>
      <c r="I13" s="373"/>
      <c r="J13" s="52"/>
      <c r="K13" s="52"/>
      <c r="L13" s="52"/>
      <c r="M13" s="52"/>
      <c r="N13" s="52"/>
      <c r="O13" s="136"/>
      <c r="P13" s="136"/>
      <c r="Q13" s="402"/>
    </row>
    <row r="14" spans="1:20" ht="14.5" customHeight="1" x14ac:dyDescent="0.35">
      <c r="A14" s="52"/>
      <c r="B14" s="52"/>
      <c r="C14" s="648" t="s">
        <v>359</v>
      </c>
      <c r="D14" s="649"/>
      <c r="E14" s="151" t="str">
        <f>IFERROR((('Business Running Costs'!$D$78)/$I$8)/$H$2,"")</f>
        <v/>
      </c>
      <c r="F14" s="151" t="str">
        <f>IFERROR((('Business Running Costs'!$E$78)/$I$8)/$H$2,"")</f>
        <v/>
      </c>
      <c r="G14" s="420" t="str">
        <f t="shared" si="0"/>
        <v/>
      </c>
      <c r="H14" s="373"/>
      <c r="I14" s="373"/>
      <c r="J14" s="490" t="s">
        <v>348</v>
      </c>
      <c r="K14" s="644" t="str">
        <f>I2&amp;" cost per room at "&amp; TEXT(K4,"##%")&amp;" ocupancy of rooms (using mid year revised costs if provided)"</f>
        <v>Weekly cost per room at 90% ocupancy of rooms (using mid year revised costs if provided)</v>
      </c>
      <c r="L14" s="490" t="str">
        <f>IFERROR(I2&amp;" cost per room at self reported ocupancy of "&amp;TEXT(('About your business'!F19/'About your business'!F21)*100,"##.##")&amp; "%  (using mid year revised costs if provided)","")</f>
        <v/>
      </c>
      <c r="M14" s="52"/>
      <c r="N14" s="52"/>
      <c r="O14" s="136"/>
      <c r="P14" s="136"/>
      <c r="Q14" s="402"/>
    </row>
    <row r="15" spans="1:20" x14ac:dyDescent="0.35">
      <c r="A15" s="52"/>
      <c r="B15" s="52"/>
      <c r="C15" s="648" t="s">
        <v>360</v>
      </c>
      <c r="D15" s="649"/>
      <c r="E15" s="151" t="str">
        <f>IFERROR((('Business Running Costs'!$D$79)/$I$8)/$H$2,"")</f>
        <v/>
      </c>
      <c r="F15" s="151" t="str">
        <f>IFERROR((('Business Running Costs'!$E$79)/$I$8)/$H$2,"")</f>
        <v/>
      </c>
      <c r="G15" s="420" t="str">
        <f t="shared" si="0"/>
        <v/>
      </c>
      <c r="H15" s="373"/>
      <c r="I15" s="373"/>
      <c r="J15" s="490"/>
      <c r="K15" s="644"/>
      <c r="L15" s="490"/>
      <c r="M15" s="52"/>
      <c r="N15" s="52"/>
      <c r="O15" s="136"/>
      <c r="P15" s="136"/>
      <c r="Q15" s="402"/>
    </row>
    <row r="16" spans="1:20" x14ac:dyDescent="0.35">
      <c r="A16" s="52"/>
      <c r="B16" s="52"/>
      <c r="C16" s="648" t="s">
        <v>408</v>
      </c>
      <c r="D16" s="649"/>
      <c r="E16" s="151" t="str">
        <f>IFERROR((('Development &amp; Sustainability'!$D$39)/$I$8)/$H$2,"")</f>
        <v/>
      </c>
      <c r="F16" s="151" t="str">
        <f>IFERROR((('Development &amp; Sustainability'!$E$39)/$I$8)/$H$2,"")</f>
        <v/>
      </c>
      <c r="G16" s="420" t="str">
        <f t="shared" si="0"/>
        <v/>
      </c>
      <c r="H16" s="373"/>
      <c r="I16" s="373"/>
      <c r="J16" s="490"/>
      <c r="K16" s="644"/>
      <c r="L16" s="490"/>
      <c r="M16" s="52"/>
      <c r="N16" s="52"/>
      <c r="O16" s="136"/>
      <c r="P16" s="136"/>
      <c r="Q16" s="402"/>
    </row>
    <row r="17" spans="1:16" ht="13.3" customHeight="1" x14ac:dyDescent="0.35">
      <c r="A17" s="52"/>
      <c r="B17" s="52"/>
      <c r="C17" s="648" t="s">
        <v>361</v>
      </c>
      <c r="D17" s="649"/>
      <c r="E17" s="151" t="str">
        <f>IFERROR((('Development &amp; Sustainability'!$D$40)/$I$8)/$H$2,"")</f>
        <v/>
      </c>
      <c r="F17" s="151" t="str">
        <f>IFERROR((('Development &amp; Sustainability'!$E$40)/$I$8)/$H$2,"")</f>
        <v/>
      </c>
      <c r="G17" s="420" t="str">
        <f t="shared" si="0"/>
        <v/>
      </c>
      <c r="H17" s="373"/>
      <c r="I17" s="373" t="str">
        <f>IFERROR(((SUMIFS(Table14[Total Wage],Table14[Per],"hour")-SUMIFS(Table14[Total Wage],Table14[Role Type],"agency"))/$I$9)/$H$2,"")</f>
        <v/>
      </c>
      <c r="J17" s="370" t="s">
        <v>404</v>
      </c>
      <c r="K17" s="385" t="str">
        <f>IF(ISBLANK('Staffing Wages'!$I$11),"Revised costs not provided, so "&amp;TEXT(K6,"£#,##0.00")&amp;"",(IFERROR(((SUMIFS(Table14[Total Wage],Table14[Per],"hour")-SUMIFS(Table14[Total Wage],Table14[Role Type],"agency"))/I9)/H2,"")))</f>
        <v xml:space="preserve">Revised costs not provided, so </v>
      </c>
      <c r="L17" s="396" t="str">
        <f>IFERROR(((SUMIFS(Table14[Total Wage],Table14[Per],"hour")-SUMIFS(Table14[Total Wage],Table14[Role Type],"agency"))/I9)/H2,"")</f>
        <v/>
      </c>
      <c r="M17" s="52"/>
      <c r="N17" s="52"/>
      <c r="O17" s="14"/>
      <c r="P17" s="14"/>
    </row>
    <row r="18" spans="1:16" ht="15.55" customHeight="1" x14ac:dyDescent="0.35">
      <c r="A18" s="52"/>
      <c r="B18" s="52"/>
      <c r="C18" s="648" t="s">
        <v>362</v>
      </c>
      <c r="D18" s="649"/>
      <c r="E18" s="151" t="str">
        <f>IFERROR((('Development &amp; Sustainability'!$D$41)/$I$8)/$H$2,"")</f>
        <v/>
      </c>
      <c r="F18" s="151" t="str">
        <f>IFERROR((('Development &amp; Sustainability'!$E$41)/$I$8)/$H$2,"")</f>
        <v/>
      </c>
      <c r="G18" s="420" t="str">
        <f t="shared" si="0"/>
        <v/>
      </c>
      <c r="H18" s="373"/>
      <c r="I18" s="373" t="str">
        <f>IFERROR(((SUMIFS(Table14[Total Wage],Table14[Per],"year"))/$I$8)/$H$2,"")</f>
        <v/>
      </c>
      <c r="J18" s="370" t="s">
        <v>405</v>
      </c>
      <c r="K18" s="386" t="str">
        <f>IF(ISBLANK('Staffing Wages'!$I$11),"Revised costs not provided, so "&amp;TEXT(K7,"£#,##0.00"),((SUMIFS(Table14[Revised rate],Table14[Per],"year")/I8)/H2))</f>
        <v xml:space="preserve">Revised costs not provided, so </v>
      </c>
      <c r="L18" s="397" t="str">
        <f>IFERROR(((SUMIFS(Table14[Total Wage],Table14[Per],"year"))/I9)/H2,"")</f>
        <v/>
      </c>
      <c r="M18" s="52"/>
      <c r="N18" s="52"/>
      <c r="O18" s="14"/>
      <c r="P18" s="14"/>
    </row>
    <row r="19" spans="1:16" ht="22.85" customHeight="1" x14ac:dyDescent="0.35">
      <c r="A19" s="52"/>
      <c r="B19" s="52"/>
      <c r="C19" s="421"/>
      <c r="D19" s="422" t="s">
        <v>190</v>
      </c>
      <c r="E19" s="423">
        <f>SUM(E6:E18)</f>
        <v>0</v>
      </c>
      <c r="F19" s="423">
        <f>SUM(F6:F18)</f>
        <v>0</v>
      </c>
      <c r="G19" s="420">
        <f t="shared" si="0"/>
        <v>0</v>
      </c>
      <c r="H19" s="373"/>
      <c r="I19" s="373" t="str">
        <f>IFERROR(((SUMIFS(Table14[Total Wage],Table14[Role Type],"agency"))/$I$9)/$H$2,"")</f>
        <v/>
      </c>
      <c r="J19" s="371" t="s">
        <v>406</v>
      </c>
      <c r="K19" s="386" t="str">
        <f>IF(ISBLANK('Staffing Wages'!$I$11),"Revised costs not provided, so "&amp;TEXT(K8,"£#,##0.00")&amp;"",IFERROR(SUMIFS(Table14[Total Wage],Table14[Role Type],"agency")/I9/H2,""))</f>
        <v xml:space="preserve">Revised costs not provided, so </v>
      </c>
      <c r="L19" s="396" t="str">
        <f>IFERROR(SUMIFS(Table14[Total Wage],Table14[Role Type],"agency")/I9/H2,"")</f>
        <v/>
      </c>
      <c r="M19" s="52"/>
      <c r="N19" s="52"/>
      <c r="O19" s="14"/>
      <c r="P19" s="14"/>
    </row>
    <row r="20" spans="1:16" ht="14.6" customHeight="1" x14ac:dyDescent="0.35">
      <c r="A20" s="52"/>
      <c r="B20" s="52"/>
      <c r="C20" s="650" t="str">
        <f>"ROI/ Profit expectation and/or contribution to reserves per "&amp;(IF('About your business'!F10=TRUE,"bed","package of care"))&amp;", per "&amp;G2&amp;" at "&amp;'Development &amp; Sustainability'!G4*100&amp; "%"</f>
        <v>ROI/ Profit expectation and/or contribution to reserves per bed, per week at 0%</v>
      </c>
      <c r="D20" s="651"/>
      <c r="E20" s="21"/>
      <c r="F20" s="21"/>
      <c r="G20" s="420"/>
      <c r="H20" s="69"/>
      <c r="I20" s="373" t="e">
        <f>IF('Development &amp; Sustainability'!D42='Development &amp; Sustainability'!E42,('Development &amp; Sustainability'!D42/$I$8/$H$2),'Development &amp; Sustainability'!E42/$L$4/$H$2)</f>
        <v>#DIV/0!</v>
      </c>
      <c r="J20" s="395" t="s">
        <v>415</v>
      </c>
      <c r="K20" s="385" t="e">
        <f>IF('Development &amp; Sustainability'!D42='Development &amp; Sustainability'!E42,"No mid year cost changes reported, so "&amp;TEXT('Development &amp; Sustainability'!D42/$I$8/$H$2,"£#,##0.00")&amp;"",'Development &amp; Sustainability'!E42/$L$4/$H$2)</f>
        <v>#DIV/0!</v>
      </c>
      <c r="L20" s="396" t="str">
        <f>IFERROR(('Development &amp; Sustainability'!$E$42)/$I$9/$H$2,"")</f>
        <v/>
      </c>
      <c r="M20" s="52"/>
      <c r="N20" s="52"/>
      <c r="O20" s="14"/>
      <c r="P20" s="14"/>
    </row>
    <row r="21" spans="1:16" ht="17.25" customHeight="1" thickBot="1" x14ac:dyDescent="0.4">
      <c r="A21" s="52"/>
      <c r="B21" s="52"/>
      <c r="C21" s="652"/>
      <c r="D21" s="653"/>
      <c r="E21" s="424">
        <f>('Development &amp; Sustainability'!$G$4*100)%*E19</f>
        <v>0</v>
      </c>
      <c r="F21" s="424">
        <f>('Development &amp; Sustainability'!$G$4*100)%*F19</f>
        <v>0</v>
      </c>
      <c r="G21" s="420">
        <f t="shared" si="0"/>
        <v>0</v>
      </c>
      <c r="H21" s="69"/>
      <c r="I21" s="373" t="e">
        <f>IF(OR(ISBLANK('Business Running Costs'!G3),ISBLANK('Business Running Costs'!E3)),('Business Running Costs'!E71/$I$8/$H$2),('Business Running Costs'!F71/$L$4/$H$2))</f>
        <v>#DIV/0!</v>
      </c>
      <c r="J21" s="395" t="s">
        <v>343</v>
      </c>
      <c r="K21" s="387" t="e">
        <f>IF(OR(ISBLANK('Business Running Costs'!G3),ISBLANK('Business Running Costs'!E3)),"No mid year cost changes reported, so "&amp;TEXT('Business Running Costs'!E71/$I$8/$H$2,"£#,##0.00"),TEXT('Business Running Costs'!F71/$L$4/$H$2,"£#,##0.00"))</f>
        <v>#DIV/0!</v>
      </c>
      <c r="L21" s="396" t="str">
        <f>IFERROR(((SUM('Business Running Costs'!$E$49:$E$65,'Business Running Costs'!$E$21:$E$25,'Business Running Costs'!$E$10:$E$16))/$I$9)/$H$2,"")</f>
        <v/>
      </c>
      <c r="M21" s="52"/>
      <c r="N21" s="52"/>
      <c r="O21" s="14"/>
      <c r="P21" s="14"/>
    </row>
    <row r="22" spans="1:16" ht="7.3" customHeight="1" x14ac:dyDescent="0.35">
      <c r="A22" s="52"/>
      <c r="B22" s="52"/>
      <c r="C22" s="463"/>
      <c r="D22" s="463"/>
      <c r="E22" s="464"/>
      <c r="F22" s="464"/>
      <c r="G22" s="465"/>
      <c r="H22" s="69"/>
      <c r="I22" s="373"/>
      <c r="J22" s="395"/>
      <c r="K22" s="387"/>
      <c r="L22" s="462"/>
      <c r="M22" s="52"/>
      <c r="N22" s="52"/>
      <c r="O22" s="14"/>
      <c r="P22" s="14"/>
    </row>
    <row r="23" spans="1:16" ht="13.3" thickBot="1" x14ac:dyDescent="0.4">
      <c r="A23" s="52"/>
      <c r="B23" s="52"/>
      <c r="C23" s="654" t="s">
        <v>416</v>
      </c>
      <c r="D23" s="654"/>
      <c r="E23" s="654"/>
      <c r="F23" s="654"/>
      <c r="G23" s="654"/>
      <c r="H23" s="69"/>
      <c r="I23" s="373" t="e">
        <f>IF(OR(ISBLANK('Business Running Costs'!G3),ISBLANK('Business Running Costs'!E3)),(((SUM('Business Running Costs'!$E$8:$E$9,'Business Running Costs'!$E$20,'Business Running Costs'!$E$30,'Business Running Costs'!$E$34:$E$45))/$I$9)/$H$2),(((SUM('Business Running Costs'!$F$8:$F$9,'Business Running Costs'!$F$20,'Business Running Costs'!$F$30,'Business Running Costs'!$F$34:$F$45))/$I$9)/$H$2))</f>
        <v>#DIV/0!</v>
      </c>
      <c r="J23" s="395" t="s">
        <v>344</v>
      </c>
      <c r="K23" s="387" t="e">
        <f>IF(OR(ISBLANK('Business Running Costs'!G3),ISBLANK('Business Running Costs'!E3)),"No mid year cost changes reported, so "&amp;TEXT(((SUM('Business Running Costs'!$E$8:$E$9,'Business Running Costs'!$E$20,'Business Running Costs'!$E$30,'Business Running Costs'!$E$34:$E$45))/$I$9)/$H$2,"£#,##0.00"),TEXT(((SUM('Business Running Costs'!$F$8:$F$9,'Business Running Costs'!$F$20,'Business Running Costs'!$F$30,'Business Running Costs'!$F$34:$F$45))/$I$9)/$H$2,"£#,##0.00"))</f>
        <v>#DIV/0!</v>
      </c>
      <c r="L23" s="398" t="str">
        <f>IFERROR(((SUM('Business Running Costs'!$E$8:$E$9,'Business Running Costs'!$E$20,'Business Running Costs'!$E$30,'Business Running Costs'!$E$34:$E$45))/$I$9)/$H$2,"")</f>
        <v/>
      </c>
      <c r="M23" s="52"/>
      <c r="N23" s="52"/>
      <c r="O23" s="14"/>
      <c r="P23" s="14"/>
    </row>
    <row r="24" spans="1:16" ht="25.75" x14ac:dyDescent="0.35">
      <c r="A24" s="52"/>
      <c r="B24" s="52"/>
      <c r="C24" s="425" t="e">
        <f>"Actual ocupancy of "&amp;TEXT(('About your business'!F19/'About your business'!F21)*100,"##.##")&amp;"% (this uses the ocupancy rate you reported on the ABOUT YOUR BUSINESS tab)"</f>
        <v>#DIV/0!</v>
      </c>
      <c r="D24" s="416"/>
      <c r="E24" s="417" t="e">
        <f>"Previous year costs, per unit of care deliverd, per "&amp;G2&amp;", based on last 12 months reported costs, at "&amp;TEXT(('About your business'!F19/'About your business'!F21)*100,"##.##")&amp;"% ocupancy"</f>
        <v>#DIV/0!</v>
      </c>
      <c r="F24" s="369" t="e">
        <f>"12 month projection, based on revised costs (where provided) per reported unit of care, per "&amp;G2&amp;",at "&amp;TEXT(('About your business'!F19/'About your business'!F21)*100,"##.##")&amp;"% ocupancy"</f>
        <v>#DIV/0!</v>
      </c>
      <c r="G24" s="418" t="s">
        <v>409</v>
      </c>
      <c r="H24" s="69"/>
      <c r="I24" s="69"/>
      <c r="J24" s="399" t="s">
        <v>352</v>
      </c>
      <c r="K24" s="400" t="e">
        <f>SUM(I17:I23)</f>
        <v>#DIV/0!</v>
      </c>
      <c r="L24" s="401">
        <f>SUM(L17:L23)</f>
        <v>0</v>
      </c>
      <c r="M24" s="384"/>
      <c r="N24" s="52"/>
      <c r="O24" s="14"/>
      <c r="P24" s="14"/>
    </row>
    <row r="25" spans="1:16" x14ac:dyDescent="0.35">
      <c r="A25" s="52"/>
      <c r="B25" s="52"/>
      <c r="C25" s="439" t="s">
        <v>353</v>
      </c>
      <c r="D25" s="440"/>
      <c r="E25" s="152" t="str">
        <f>IFERROR(((('Staffing Wages'!$E$3)/$I$9)/$H$2),"")</f>
        <v/>
      </c>
      <c r="F25" s="151" t="str">
        <f>IFERROR(('Staffing Wages'!$S$3/$H$2)/$I$9,"")</f>
        <v/>
      </c>
      <c r="G25" s="420" t="str">
        <f>IFERROR(F25-E25,"")</f>
        <v/>
      </c>
      <c r="H25" s="69"/>
      <c r="I25" s="69"/>
      <c r="J25" s="52"/>
      <c r="K25" s="52"/>
      <c r="L25" s="52"/>
      <c r="M25" s="52"/>
      <c r="N25" s="52"/>
      <c r="O25" s="14"/>
      <c r="P25" s="14"/>
    </row>
    <row r="26" spans="1:16" x14ac:dyDescent="0.35">
      <c r="A26" s="52"/>
      <c r="B26" s="52"/>
      <c r="C26" s="439" t="s">
        <v>410</v>
      </c>
      <c r="D26" s="440"/>
      <c r="E26" s="151" t="str">
        <f>IFERROR((('Staffing Wages'!E$4)/$I$9)/$H$2,"")</f>
        <v/>
      </c>
      <c r="F26" s="151" t="str">
        <f>IFERROR((('Staffing Wages'!S$4)/$I$9)/$H$2,"")</f>
        <v/>
      </c>
      <c r="G26" s="420" t="str">
        <f t="shared" ref="G26:G40" si="1">IFERROR(F26-E26,"")</f>
        <v/>
      </c>
      <c r="H26" s="69"/>
      <c r="I26" s="69"/>
      <c r="M26" s="52"/>
      <c r="N26" s="52"/>
      <c r="O26" s="14"/>
      <c r="P26" s="14"/>
    </row>
    <row r="27" spans="1:16" x14ac:dyDescent="0.35">
      <c r="A27" s="52"/>
      <c r="B27" s="52"/>
      <c r="C27" s="439" t="s">
        <v>407</v>
      </c>
      <c r="D27" s="440"/>
      <c r="E27" s="152" t="str">
        <f>IFERROR(((('Staffing Wages'!$E$5)/$I$9)/$H$2),"")</f>
        <v/>
      </c>
      <c r="F27" s="151" t="str">
        <f>IFERROR(((('Staffing Wages'!$S$5)/$I$9)/$H$2),"")</f>
        <v/>
      </c>
      <c r="G27" s="420" t="str">
        <f t="shared" si="1"/>
        <v/>
      </c>
      <c r="H27" s="69"/>
      <c r="I27" s="69"/>
      <c r="M27" s="52"/>
      <c r="N27" s="52"/>
      <c r="O27" s="14"/>
      <c r="P27" s="14"/>
    </row>
    <row r="28" spans="1:16" x14ac:dyDescent="0.35">
      <c r="A28" s="52"/>
      <c r="B28" s="52"/>
      <c r="C28" s="646" t="s">
        <v>354</v>
      </c>
      <c r="D28" s="647"/>
      <c r="E28" s="152" t="str">
        <f>IFERROR(((('Staffing Wages'!$E$6)/$I$9)/$H$2),"")</f>
        <v/>
      </c>
      <c r="F28" s="151" t="str">
        <f>IFERROR(((('Staffing Wages'!$S$6)/$I$9)/$H$2),"")</f>
        <v/>
      </c>
      <c r="G28" s="420" t="str">
        <f t="shared" si="1"/>
        <v/>
      </c>
      <c r="H28" s="69"/>
      <c r="I28" s="69"/>
      <c r="M28" s="52"/>
      <c r="N28" s="52"/>
      <c r="O28" s="14"/>
      <c r="P28" s="14"/>
    </row>
    <row r="29" spans="1:16" x14ac:dyDescent="0.35">
      <c r="A29" s="52"/>
      <c r="B29" s="52"/>
      <c r="C29" s="648" t="s">
        <v>355</v>
      </c>
      <c r="D29" s="649"/>
      <c r="E29" s="151" t="str">
        <f>IFERROR((('Staffing Wages'!$E$7)/$I$9)/$H$2,"")</f>
        <v/>
      </c>
      <c r="F29" s="151" t="str">
        <f>IFERROR((('Staffing Wages'!$S$7)/$I$9)/$H$2,"")</f>
        <v/>
      </c>
      <c r="G29" s="420" t="str">
        <f t="shared" si="1"/>
        <v/>
      </c>
      <c r="H29" s="69"/>
      <c r="I29" s="69"/>
      <c r="M29" s="52"/>
      <c r="N29" s="52"/>
      <c r="O29" s="14"/>
      <c r="P29" s="14"/>
    </row>
    <row r="30" spans="1:16" x14ac:dyDescent="0.35">
      <c r="A30" s="52"/>
      <c r="B30" s="52"/>
      <c r="C30" s="419" t="s">
        <v>356</v>
      </c>
      <c r="D30" s="404"/>
      <c r="E30" s="151" t="str">
        <f>IFERROR((('Business Running Costs'!$D$75)/$I$9)/$H$2,"")</f>
        <v/>
      </c>
      <c r="F30" s="151" t="str">
        <f>IFERROR((('Business Running Costs'!$E$75)/$I$9)/$H$2,"")</f>
        <v/>
      </c>
      <c r="G30" s="420" t="str">
        <f t="shared" si="1"/>
        <v/>
      </c>
      <c r="H30" s="69"/>
      <c r="I30" s="69"/>
      <c r="M30" s="52"/>
      <c r="N30" s="52"/>
      <c r="O30" s="14"/>
      <c r="P30" s="14"/>
    </row>
    <row r="31" spans="1:16" x14ac:dyDescent="0.35">
      <c r="A31" s="52"/>
      <c r="B31" s="52"/>
      <c r="C31" s="648" t="s">
        <v>357</v>
      </c>
      <c r="D31" s="649"/>
      <c r="E31" s="151" t="str">
        <f>IFERROR((('Business Running Costs'!$D$76)/$I$9)/$H$2,"")</f>
        <v/>
      </c>
      <c r="F31" s="151" t="str">
        <f>IFERROR((('Business Running Costs'!$E$76)/$I$9)/$H$2,"")</f>
        <v/>
      </c>
      <c r="G31" s="420" t="str">
        <f t="shared" si="1"/>
        <v/>
      </c>
      <c r="H31" s="69"/>
      <c r="I31" s="69"/>
      <c r="M31" s="52"/>
      <c r="N31" s="52"/>
      <c r="O31" s="14"/>
      <c r="P31" s="14"/>
    </row>
    <row r="32" spans="1:16" x14ac:dyDescent="0.35">
      <c r="A32" s="52"/>
      <c r="B32" s="52"/>
      <c r="C32" s="648" t="s">
        <v>358</v>
      </c>
      <c r="D32" s="649"/>
      <c r="E32" s="151" t="str">
        <f>IFERROR((('Business Running Costs'!$D$77)/$I$9)/$H$2,"")</f>
        <v/>
      </c>
      <c r="F32" s="151" t="str">
        <f>IFERROR((('Business Running Costs'!$E$77)/$I$9)/$H$2,"")</f>
        <v/>
      </c>
      <c r="G32" s="420" t="str">
        <f t="shared" si="1"/>
        <v/>
      </c>
      <c r="H32" s="69"/>
      <c r="I32" s="69"/>
      <c r="M32" s="52"/>
      <c r="N32" s="52"/>
      <c r="O32" s="14"/>
      <c r="P32" s="14"/>
    </row>
    <row r="33" spans="1:16" x14ac:dyDescent="0.35">
      <c r="A33" s="52"/>
      <c r="C33" s="648" t="s">
        <v>359</v>
      </c>
      <c r="D33" s="649"/>
      <c r="E33" s="151" t="str">
        <f>IFERROR((('Business Running Costs'!$D$78)/$I$9)/$H$2,"")</f>
        <v/>
      </c>
      <c r="F33" s="151" t="str">
        <f>IFERROR((('Business Running Costs'!$E$78)/$I$9)/$H$2,"")</f>
        <v/>
      </c>
      <c r="G33" s="420" t="str">
        <f t="shared" si="1"/>
        <v/>
      </c>
      <c r="H33" s="69"/>
      <c r="I33" s="69"/>
      <c r="M33" s="52"/>
      <c r="N33" s="52"/>
      <c r="O33" s="14"/>
      <c r="P33" s="14"/>
    </row>
    <row r="34" spans="1:16" x14ac:dyDescent="0.35">
      <c r="A34" s="52"/>
      <c r="C34" s="648" t="s">
        <v>360</v>
      </c>
      <c r="D34" s="649"/>
      <c r="E34" s="151" t="str">
        <f>IFERROR((('Business Running Costs'!$D$79)/$I$9)/$H$2,"")</f>
        <v/>
      </c>
      <c r="F34" s="151" t="str">
        <f>IFERROR((('Business Running Costs'!$E$79)/$I$9)/$H$2,"")</f>
        <v/>
      </c>
      <c r="G34" s="420" t="str">
        <f t="shared" si="1"/>
        <v/>
      </c>
      <c r="H34" s="69"/>
      <c r="I34" s="69"/>
      <c r="M34" s="52"/>
      <c r="N34" s="52"/>
      <c r="O34" s="14"/>
      <c r="P34" s="14"/>
    </row>
    <row r="35" spans="1:16" x14ac:dyDescent="0.35">
      <c r="A35" s="52"/>
      <c r="C35" s="648" t="s">
        <v>408</v>
      </c>
      <c r="D35" s="649"/>
      <c r="E35" s="151" t="str">
        <f>IFERROR((('Development &amp; Sustainability'!$D$39)/$I$9)/$H$2,"")</f>
        <v/>
      </c>
      <c r="F35" s="151" t="str">
        <f>IFERROR((('Development &amp; Sustainability'!$E$39)/$I$9)/$H$2,"")</f>
        <v/>
      </c>
      <c r="G35" s="420" t="str">
        <f t="shared" si="1"/>
        <v/>
      </c>
      <c r="H35" s="69"/>
      <c r="I35" s="69"/>
      <c r="M35" s="52"/>
      <c r="N35" s="52"/>
      <c r="O35" s="14"/>
      <c r="P35" s="14"/>
    </row>
    <row r="36" spans="1:16" x14ac:dyDescent="0.35">
      <c r="A36" s="52"/>
      <c r="C36" s="648" t="s">
        <v>361</v>
      </c>
      <c r="D36" s="649"/>
      <c r="E36" s="151" t="str">
        <f>IFERROR((('Development &amp; Sustainability'!$D$40)/$I$9)/$H$2,"")</f>
        <v/>
      </c>
      <c r="F36" s="151" t="str">
        <f>IFERROR((('Development &amp; Sustainability'!$E$40)/$I$9)/$H$2,"")</f>
        <v/>
      </c>
      <c r="G36" s="420" t="str">
        <f t="shared" si="1"/>
        <v/>
      </c>
      <c r="H36" s="69"/>
      <c r="I36" s="69"/>
      <c r="M36" s="52"/>
      <c r="N36" s="52"/>
      <c r="O36" s="14"/>
      <c r="P36" s="14"/>
    </row>
    <row r="37" spans="1:16" x14ac:dyDescent="0.35">
      <c r="A37" s="52"/>
      <c r="C37" s="648" t="s">
        <v>362</v>
      </c>
      <c r="D37" s="649"/>
      <c r="E37" s="151" t="str">
        <f>IFERROR((('Development &amp; Sustainability'!$D$41)/$I$9)/$H$2,"")</f>
        <v/>
      </c>
      <c r="F37" s="151" t="str">
        <f>IFERROR((('Development &amp; Sustainability'!$E$41)/$I$9)/$H$2,"")</f>
        <v/>
      </c>
      <c r="G37" s="420" t="str">
        <f t="shared" si="1"/>
        <v/>
      </c>
      <c r="H37" s="69"/>
      <c r="I37" s="69"/>
      <c r="M37" s="52"/>
      <c r="N37" s="52"/>
      <c r="O37" s="14"/>
      <c r="P37" s="14"/>
    </row>
    <row r="38" spans="1:16" x14ac:dyDescent="0.35">
      <c r="A38" s="52"/>
      <c r="C38" s="421"/>
      <c r="D38" s="422" t="s">
        <v>190</v>
      </c>
      <c r="E38" s="423">
        <f>SUM(E25:E37)</f>
        <v>0</v>
      </c>
      <c r="F38" s="423">
        <f>SUM(F25:F37)</f>
        <v>0</v>
      </c>
      <c r="G38" s="420">
        <f t="shared" si="1"/>
        <v>0</v>
      </c>
      <c r="H38" s="69"/>
      <c r="I38" s="69"/>
      <c r="M38" s="52"/>
      <c r="N38" s="52"/>
      <c r="O38" s="14"/>
      <c r="P38" s="14"/>
    </row>
    <row r="39" spans="1:16" ht="16.75" customHeight="1" x14ac:dyDescent="0.35">
      <c r="A39" s="52"/>
      <c r="C39" s="650" t="str">
        <f>"ROI/ Profit expectation and/or contribution to reserves per "&amp;(IF('About your business'!F10=TRUE,"bed","package of care"))&amp;", per "&amp;G2&amp;" at "&amp;'Development &amp; Sustainability'!G4*100&amp; "%"</f>
        <v>ROI/ Profit expectation and/or contribution to reserves per bed, per week at 0%</v>
      </c>
      <c r="D39" s="651"/>
      <c r="E39" s="21"/>
      <c r="F39" s="21"/>
      <c r="G39" s="420"/>
      <c r="H39" s="69"/>
      <c r="I39" s="69"/>
      <c r="M39" s="52"/>
      <c r="N39" s="52"/>
      <c r="O39" s="14"/>
      <c r="P39" s="14"/>
    </row>
    <row r="40" spans="1:16" ht="12.9" customHeight="1" thickBot="1" x14ac:dyDescent="0.4">
      <c r="A40" s="52"/>
      <c r="C40" s="652"/>
      <c r="D40" s="653"/>
      <c r="E40" s="424">
        <f>('Development &amp; Sustainability'!$G$4*100)%*E38</f>
        <v>0</v>
      </c>
      <c r="F40" s="424">
        <f>('Development &amp; Sustainability'!$G$4*100)%*F38</f>
        <v>0</v>
      </c>
      <c r="G40" s="420">
        <f t="shared" si="1"/>
        <v>0</v>
      </c>
      <c r="H40" s="69"/>
      <c r="I40" s="69"/>
      <c r="M40" s="52"/>
      <c r="N40" s="52"/>
      <c r="O40" s="14"/>
      <c r="P40" s="14"/>
    </row>
    <row r="41" spans="1:16" x14ac:dyDescent="0.35">
      <c r="A41" s="52"/>
      <c r="B41" s="52"/>
      <c r="C41" s="52"/>
      <c r="D41" s="52"/>
      <c r="E41" s="52"/>
      <c r="F41" s="52"/>
      <c r="G41" s="52"/>
      <c r="H41" s="69"/>
      <c r="I41" s="69"/>
      <c r="M41" s="52"/>
      <c r="N41" s="52"/>
      <c r="O41" s="14"/>
      <c r="P41" s="14"/>
    </row>
    <row r="42" spans="1:16" x14ac:dyDescent="0.35">
      <c r="G42" s="402"/>
      <c r="H42" s="403"/>
      <c r="I42" s="403"/>
      <c r="J42" s="402"/>
      <c r="K42" s="402"/>
      <c r="L42" s="402"/>
      <c r="M42" s="402"/>
      <c r="N42" s="402"/>
      <c r="O42" s="136"/>
      <c r="P42" s="136"/>
    </row>
    <row r="43" spans="1:16" x14ac:dyDescent="0.35">
      <c r="G43" s="402"/>
      <c r="H43" s="403"/>
      <c r="I43" s="403"/>
      <c r="J43" s="402"/>
      <c r="K43" s="402"/>
      <c r="L43" s="402"/>
      <c r="M43" s="402"/>
      <c r="N43" s="402"/>
      <c r="O43" s="402"/>
      <c r="P43" s="402"/>
    </row>
    <row r="44" spans="1:16" x14ac:dyDescent="0.35">
      <c r="G44" s="402"/>
      <c r="H44" s="403"/>
      <c r="I44" s="403"/>
      <c r="J44" s="402"/>
      <c r="K44" s="402"/>
      <c r="L44" s="402"/>
      <c r="M44" s="402"/>
      <c r="N44" s="402"/>
      <c r="O44" s="402"/>
      <c r="P44" s="402"/>
    </row>
    <row r="45" spans="1:16" x14ac:dyDescent="0.35">
      <c r="G45" s="402"/>
      <c r="H45" s="403"/>
      <c r="I45" s="403"/>
      <c r="J45" s="402"/>
      <c r="K45" s="402"/>
      <c r="L45" s="402"/>
      <c r="M45" s="402"/>
      <c r="N45" s="402"/>
      <c r="O45" s="402"/>
      <c r="P45" s="402"/>
    </row>
    <row r="46" spans="1:16" x14ac:dyDescent="0.35">
      <c r="G46" s="402"/>
      <c r="H46" s="403"/>
      <c r="I46" s="403"/>
      <c r="J46" s="402"/>
      <c r="K46" s="402"/>
      <c r="L46" s="402"/>
      <c r="M46" s="402"/>
      <c r="N46" s="402"/>
      <c r="O46" s="402"/>
      <c r="P46" s="402"/>
    </row>
    <row r="47" spans="1:16" x14ac:dyDescent="0.35">
      <c r="G47" s="402"/>
      <c r="H47" s="403"/>
      <c r="I47" s="403"/>
      <c r="J47" s="402"/>
      <c r="K47" s="402"/>
      <c r="L47" s="402"/>
      <c r="M47" s="402"/>
      <c r="N47" s="402"/>
      <c r="O47" s="402"/>
      <c r="P47" s="402"/>
    </row>
    <row r="48" spans="1:16" x14ac:dyDescent="0.35">
      <c r="G48" s="402"/>
      <c r="H48" s="403"/>
      <c r="I48" s="403"/>
      <c r="J48" s="402"/>
      <c r="M48" s="52"/>
      <c r="N48" s="52"/>
    </row>
    <row r="49" spans="13:14" x14ac:dyDescent="0.35">
      <c r="M49" s="52"/>
      <c r="N49" s="52"/>
    </row>
  </sheetData>
  <sheetProtection algorithmName="SHA-512" hashValue="AVMHvM+QDuJ0IoF2tUP0gMy5x7D8BvP7djYBxp0zRCdowGA0UNH8ZZfYuIXdmFgXrD2agiZWY3PutF8wFMX5rw==" saltValue="Q7FFhnbqf3FEXUDPg6RzXw==" spinCount="100000" sheet="1" selectLockedCells="1"/>
  <mergeCells count="28">
    <mergeCell ref="C23:G23"/>
    <mergeCell ref="O2:P2"/>
    <mergeCell ref="C28:D28"/>
    <mergeCell ref="C31:D31"/>
    <mergeCell ref="C35:D35"/>
    <mergeCell ref="C20:D21"/>
    <mergeCell ref="C17:D17"/>
    <mergeCell ref="C18:D18"/>
    <mergeCell ref="C36:D36"/>
    <mergeCell ref="C37:D37"/>
    <mergeCell ref="C39:D40"/>
    <mergeCell ref="C29:D29"/>
    <mergeCell ref="C32:D32"/>
    <mergeCell ref="C33:D33"/>
    <mergeCell ref="C34:D34"/>
    <mergeCell ref="C1:G1"/>
    <mergeCell ref="C2:E2"/>
    <mergeCell ref="J14:J16"/>
    <mergeCell ref="K14:K16"/>
    <mergeCell ref="L14:L16"/>
    <mergeCell ref="C4:G4"/>
    <mergeCell ref="C9:D9"/>
    <mergeCell ref="C12:D12"/>
    <mergeCell ref="C13:D13"/>
    <mergeCell ref="C14:D14"/>
    <mergeCell ref="C15:D15"/>
    <mergeCell ref="C16:D16"/>
    <mergeCell ref="C10:D10"/>
  </mergeCells>
  <conditionalFormatting sqref="G6:G22 G25:G40">
    <cfRule type="expression" dxfId="73" priority="5">
      <formula>$F6&gt;$E6</formula>
    </cfRule>
  </conditionalFormatting>
  <conditionalFormatting sqref="G7:G10">
    <cfRule type="expression" dxfId="72" priority="159">
      <formula>$F8&gt;$E8</formula>
    </cfRule>
  </conditionalFormatting>
  <conditionalFormatting sqref="G6:G22">
    <cfRule type="cellIs" dxfId="71" priority="2" operator="equal">
      <formula>0</formula>
    </cfRule>
  </conditionalFormatting>
  <conditionalFormatting sqref="G25:G40">
    <cfRule type="cellIs" dxfId="70" priority="1" operator="equal">
      <formula>0</formula>
    </cfRule>
  </conditionalFormatting>
  <pageMargins left="0.25" right="0.25" top="0.75" bottom="0.75" header="0.3" footer="0.3"/>
  <pageSetup paperSize="9" orientation="portrait" r:id="rId1"/>
  <headerFooter>
    <oddHeader xml:space="preserve">&amp;C&amp;A 
&amp;F&amp;RPage &amp;P
Confidential
</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D93F6D2-BE3A-498E-A232-853C9CCA9F18}">
          <x14:formula1>
            <xm:f>DropDownLists!$E$5:$E$9</xm:f>
          </x14:formula1>
          <xm:sqref>G2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A937-F148-4C24-81B9-A7FF7E0C9DB5}">
  <dimension ref="A2:B15"/>
  <sheetViews>
    <sheetView workbookViewId="0">
      <selection activeCell="H30" sqref="H30"/>
    </sheetView>
  </sheetViews>
  <sheetFormatPr defaultRowHeight="14.6" x14ac:dyDescent="0.4"/>
  <cols>
    <col min="1" max="1" width="10.921875" customWidth="1"/>
    <col min="2" max="2" width="9.3046875" customWidth="1"/>
  </cols>
  <sheetData>
    <row r="2" spans="1:2" ht="14.6" customHeight="1" x14ac:dyDescent="0.4">
      <c r="A2" t="s">
        <v>421</v>
      </c>
    </row>
    <row r="3" spans="1:2" x14ac:dyDescent="0.4">
      <c r="A3" t="s">
        <v>420</v>
      </c>
    </row>
    <row r="5" spans="1:2" ht="39.9" customHeight="1" x14ac:dyDescent="0.4">
      <c r="A5" s="467" t="s">
        <v>419</v>
      </c>
      <c r="B5" s="474" t="e">
        <f>ROUNDUP((SUM(A8*B8+A9*B9+A10*B10+A11*B11+A12*B12+A13*B13+A14*B14+A15*B15))/(SUM(Table5['# bank hols @ rate])),2)</f>
        <v>#DIV/0!</v>
      </c>
    </row>
    <row r="7" spans="1:2" ht="27.9" customHeight="1" x14ac:dyDescent="0.4">
      <c r="A7" s="468" t="s">
        <v>417</v>
      </c>
      <c r="B7" s="469" t="s">
        <v>418</v>
      </c>
    </row>
    <row r="8" spans="1:2" x14ac:dyDescent="0.4">
      <c r="A8" s="470"/>
      <c r="B8" s="471"/>
    </row>
    <row r="9" spans="1:2" x14ac:dyDescent="0.4">
      <c r="A9" s="470"/>
      <c r="B9" s="471"/>
    </row>
    <row r="10" spans="1:2" x14ac:dyDescent="0.4">
      <c r="A10" s="470"/>
      <c r="B10" s="471"/>
    </row>
    <row r="11" spans="1:2" x14ac:dyDescent="0.4">
      <c r="A11" s="470"/>
      <c r="B11" s="471"/>
    </row>
    <row r="12" spans="1:2" x14ac:dyDescent="0.4">
      <c r="A12" s="470"/>
      <c r="B12" s="471"/>
    </row>
    <row r="13" spans="1:2" x14ac:dyDescent="0.4">
      <c r="A13" s="470"/>
      <c r="B13" s="471"/>
    </row>
    <row r="14" spans="1:2" x14ac:dyDescent="0.4">
      <c r="A14" s="470"/>
      <c r="B14" s="471"/>
    </row>
    <row r="15" spans="1:2" x14ac:dyDescent="0.4">
      <c r="A15" s="472"/>
      <c r="B15" s="473"/>
    </row>
  </sheetData>
  <sheetProtection algorithmName="SHA-512" hashValue="M+49HCpNgxeKsMjSQop06Rmq0Q+SAAXXdtCeDxYZCgs16rwdmNHa1f2DHzSJW/zZpbah+CdI183mFZrc+hnZRw==" saltValue="iDCSTEhrVCUz0YHVIzc8jA==" spinCount="100000" sheet="1" objects="1" scenarios="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About your business</vt:lpstr>
      <vt:lpstr>DropDownLists</vt:lpstr>
      <vt:lpstr>Staffing Wages</vt:lpstr>
      <vt:lpstr>Staffing Wage CHANGE</vt:lpstr>
      <vt:lpstr>Business Running Costs</vt:lpstr>
      <vt:lpstr>Development &amp; Sustainability</vt:lpstr>
      <vt:lpstr>ActivitySpecificCosts</vt:lpstr>
      <vt:lpstr>PackageCostCalculator</vt:lpstr>
      <vt:lpstr>Calculator sheet</vt:lpstr>
      <vt:lpstr>Calculators to suport input</vt:lpstr>
      <vt:lpstr>T&amp;FGroupDataSetReport</vt:lpstr>
    </vt:vector>
  </TitlesOfParts>
  <Company>CardiffandVale UHB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Al092576</dc:creator>
  <cp:lastModifiedBy>Al092576</cp:lastModifiedBy>
  <dcterms:created xsi:type="dcterms:W3CDTF">2022-10-27T15:36:31Z</dcterms:created>
  <dcterms:modified xsi:type="dcterms:W3CDTF">2023-10-17T15:07:15Z</dcterms:modified>
</cp:coreProperties>
</file>